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Planilha Orçamentária" sheetId="1" r:id="rId1"/>
    <sheet name="Cronograma" sheetId="2" r:id="rId2"/>
    <sheet name="BDI" sheetId="3" r:id="rId3"/>
  </sheets>
  <externalReferences>
    <externalReference r:id="rId4"/>
  </externalReferences>
  <definedNames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Apelido" hidden="1">[1]DADOS!$F$16</definedName>
    <definedName name="Import.DescLote" hidden="1">[1]DADOS!$F$17</definedName>
    <definedName name="Import.Desoneracao" hidden="1">OFFSET([1]DADOS!$G$18,0,-1)</definedName>
  </definedNames>
  <calcPr calcId="124519"/>
</workbook>
</file>

<file path=xl/calcChain.xml><?xml version="1.0" encoding="utf-8"?>
<calcChain xmlns="http://schemas.openxmlformats.org/spreadsheetml/2006/main">
  <c r="E27" i="3"/>
  <c r="J22"/>
  <c r="A19"/>
  <c r="A18"/>
  <c r="A17"/>
  <c r="A16"/>
  <c r="A15"/>
  <c r="Z21" i="2"/>
  <c r="Z20"/>
  <c r="X21"/>
  <c r="X20"/>
  <c r="V21"/>
  <c r="V20"/>
  <c r="T21"/>
  <c r="T20"/>
  <c r="R21"/>
  <c r="R20"/>
  <c r="P21"/>
  <c r="P20"/>
  <c r="N21"/>
  <c r="N20"/>
  <c r="L21"/>
  <c r="L20"/>
  <c r="J21"/>
  <c r="J20"/>
  <c r="H21"/>
  <c r="H20"/>
  <c r="F21"/>
  <c r="F20"/>
  <c r="D20"/>
  <c r="AB20"/>
  <c r="AB19"/>
  <c r="AB18"/>
  <c r="AB17"/>
  <c r="AB16"/>
  <c r="AB15"/>
  <c r="AB14"/>
  <c r="AB13"/>
  <c r="AB12"/>
  <c r="AB11"/>
  <c r="AB10"/>
  <c r="AB9"/>
  <c r="AB8"/>
  <c r="AB7"/>
  <c r="AB6"/>
  <c r="AB5"/>
  <c r="AB4"/>
  <c r="AB3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3"/>
  <c r="Q21"/>
  <c r="U16"/>
  <c r="U15"/>
  <c r="R12"/>
  <c r="S12"/>
  <c r="S20" s="1"/>
  <c r="S14"/>
  <c r="S13"/>
  <c r="Q20"/>
  <c r="Q14"/>
  <c r="Q12" s="1"/>
  <c r="P12" s="1"/>
  <c r="Q13"/>
  <c r="G3"/>
  <c r="AA20"/>
  <c r="M20"/>
  <c r="K20"/>
  <c r="I20"/>
  <c r="G20"/>
  <c r="E20"/>
  <c r="E21" s="1"/>
  <c r="C20"/>
  <c r="Z17"/>
  <c r="AA17"/>
  <c r="AA19"/>
  <c r="AA18"/>
  <c r="X15"/>
  <c r="V15"/>
  <c r="T15"/>
  <c r="Y15"/>
  <c r="W15"/>
  <c r="Y16"/>
  <c r="W16"/>
  <c r="V8"/>
  <c r="T8"/>
  <c r="R8"/>
  <c r="P8"/>
  <c r="N8"/>
  <c r="L8"/>
  <c r="J8"/>
  <c r="W8"/>
  <c r="U8"/>
  <c r="M8"/>
  <c r="K8"/>
  <c r="L6"/>
  <c r="J6"/>
  <c r="H6"/>
  <c r="M6"/>
  <c r="K6"/>
  <c r="I6"/>
  <c r="M11"/>
  <c r="O10"/>
  <c r="K9"/>
  <c r="M7"/>
  <c r="K7"/>
  <c r="I7"/>
  <c r="F3"/>
  <c r="J62" i="1"/>
  <c r="J58"/>
  <c r="J55" s="1"/>
  <c r="J56"/>
  <c r="J49"/>
  <c r="J48"/>
  <c r="I54"/>
  <c r="I53"/>
  <c r="I52"/>
  <c r="I51"/>
  <c r="I50"/>
  <c r="J45"/>
  <c r="I44"/>
  <c r="I43"/>
  <c r="I42"/>
  <c r="I41"/>
  <c r="I40"/>
  <c r="I39"/>
  <c r="I38"/>
  <c r="J37"/>
  <c r="J36"/>
  <c r="J32"/>
  <c r="J26"/>
  <c r="I24"/>
  <c r="J23"/>
  <c r="J22"/>
  <c r="I21"/>
  <c r="I20"/>
  <c r="I19"/>
  <c r="I18"/>
  <c r="I17"/>
  <c r="J16"/>
  <c r="J15"/>
  <c r="I14"/>
  <c r="I13"/>
  <c r="I12"/>
  <c r="J11"/>
  <c r="I10"/>
  <c r="J9"/>
  <c r="J8"/>
  <c r="G21" i="2" l="1"/>
  <c r="I21" s="1"/>
  <c r="K21" s="1"/>
  <c r="M21" s="1"/>
  <c r="O21" s="1"/>
  <c r="S21" s="1"/>
  <c r="U21" l="1"/>
  <c r="W21" s="1"/>
  <c r="Y21" s="1"/>
  <c r="AA21" s="1"/>
</calcChain>
</file>

<file path=xl/sharedStrings.xml><?xml version="1.0" encoding="utf-8"?>
<sst xmlns="http://schemas.openxmlformats.org/spreadsheetml/2006/main" count="322" uniqueCount="193">
  <si>
    <t>ITEM</t>
  </si>
  <si>
    <t>FONTE</t>
  </si>
  <si>
    <t>CÓDIGO</t>
  </si>
  <si>
    <t>DESCRIÇÃO</t>
  </si>
  <si>
    <t>PREÇO UNITÁRIO</t>
  </si>
  <si>
    <t>PREÇO TOTAL</t>
  </si>
  <si>
    <t>OBRA:</t>
  </si>
  <si>
    <t>ENDEREÇO:</t>
  </si>
  <si>
    <t>DATA:</t>
  </si>
  <si>
    <t>BDI:</t>
  </si>
  <si>
    <t>PLANILHA ORÇAMENTÁRIA</t>
  </si>
  <si>
    <t>SERVIÇOS PRELIMINARES</t>
  </si>
  <si>
    <t>1.1</t>
  </si>
  <si>
    <t>Identificação da Obra</t>
  </si>
  <si>
    <t>1.1.1</t>
  </si>
  <si>
    <t>74209/1</t>
  </si>
  <si>
    <t>SINAPI</t>
  </si>
  <si>
    <t>Placa de obra em chapa de aço galvanizado</t>
  </si>
  <si>
    <t>UND</t>
  </si>
  <si>
    <t>m²</t>
  </si>
  <si>
    <t>QTD</t>
  </si>
  <si>
    <t xml:space="preserve">CUSTO UNITÁRIO </t>
  </si>
  <si>
    <t>BDI</t>
  </si>
  <si>
    <t>1.2</t>
  </si>
  <si>
    <t>Limpeza do Terreno</t>
  </si>
  <si>
    <t>1.2.1</t>
  </si>
  <si>
    <t>1.2.2</t>
  </si>
  <si>
    <t>1.2.3</t>
  </si>
  <si>
    <t>73822/2</t>
  </si>
  <si>
    <t>Limpeza mecanizada de terreno com remoção de camada vegetal, utilizando motoniveladora</t>
  </si>
  <si>
    <t>Carga e descarga mecanizadas de entulho em caminhão basculante 6³</t>
  </si>
  <si>
    <t>Transporte de entulho com caminhão basculante 6m³, rodovia pavimentada, DMT 0,5 a 1,0km</t>
  </si>
  <si>
    <t>m³</t>
  </si>
  <si>
    <t>TERRAPLENAGEM</t>
  </si>
  <si>
    <t>2.1</t>
  </si>
  <si>
    <t>Movimentação de terra</t>
  </si>
  <si>
    <t>2.1.1</t>
  </si>
  <si>
    <t>2.1.2</t>
  </si>
  <si>
    <t>2.1.3</t>
  </si>
  <si>
    <t>2.1.4</t>
  </si>
  <si>
    <t>2.1.5</t>
  </si>
  <si>
    <t>74151/1</t>
  </si>
  <si>
    <t>SINAPI-I</t>
  </si>
  <si>
    <t>Escavação e carga de material 1ª categoria, utilizando trator de esteiras de 110 a 160hp, com lâmina, peso operacional 13t, pá carregadeira com 170hp</t>
  </si>
  <si>
    <t>Argila ou barro para aterro/reaterro (retirado na jazida, sem transporte)</t>
  </si>
  <si>
    <t>Execução e compactação de aterro com solo predominantemente argiloso - Exclusive escavação, carga, transporte e solo</t>
  </si>
  <si>
    <t>Transporte com caminhão basculante de 6m³, em via urbana, leito natural</t>
  </si>
  <si>
    <t>m³xkm</t>
  </si>
  <si>
    <t>Compactação mecânica a 95% do Proctor Normal - Pavimentação Urbana</t>
  </si>
  <si>
    <t>DRENAGEM</t>
  </si>
  <si>
    <t>3.1</t>
  </si>
  <si>
    <t>3.1.1</t>
  </si>
  <si>
    <t>3.1.2</t>
  </si>
  <si>
    <t>Escavação mecanizada de vala com prof. Até 1,5m  (média entre montante e jusante / uma composição por trecho) com escavadeira hidráulica (0,83m³/111hp), largura de 1,5m a 2,5m, em solo de 1ª categoria, em locais de baixo nível de interferência</t>
  </si>
  <si>
    <t>Reaterro mecanizado de vala com retroescavadeira (capacidade da caçamba da retro: 0,26m³ / Potência: 88hp), largura de 0,8 a 1,5m, profundidade até 1,5m, com solo (sem substituição) de 1ª categoria em locais com baixo nível de interferência</t>
  </si>
  <si>
    <t>3.2</t>
  </si>
  <si>
    <t>Tubulação</t>
  </si>
  <si>
    <t>3.2.1</t>
  </si>
  <si>
    <t>3.2.2</t>
  </si>
  <si>
    <t>3.2.3</t>
  </si>
  <si>
    <t>3.2.4</t>
  </si>
  <si>
    <t>3.2.5</t>
  </si>
  <si>
    <t>Tubo de concreto (simples) para redes coletoras de águas pluviais, diâmetro de 300mm, junta rígida, instalada em local com baixo nível de interferência - Fornecimento e Assentamento</t>
  </si>
  <si>
    <t>m</t>
  </si>
  <si>
    <t>Tubo de concreto (simples) para redes coletoras de águas pluviais, diâmetro de 400mm, junta rígida, instalada em local com baixo nível de interferência - Fornecimento e Assentamento</t>
  </si>
  <si>
    <t>Tubo de concreto armado, classe PA-1, PB, DN600mm, para águas pluviais (NBR8890)</t>
  </si>
  <si>
    <t>Assentamento de tubo de concreto para redes coletoras de águas pluviais, diâmetro de 600mm,  junta rígida, instalado em local de baixa interferência (não inclui fornecimento)</t>
  </si>
  <si>
    <t>Lastro com preparo de fundo, largura maior ou igual a 1,5m, com camada de brita, lançamento manual, em local com baixo nível de interferência</t>
  </si>
  <si>
    <t>3.3</t>
  </si>
  <si>
    <t>Acessórios</t>
  </si>
  <si>
    <t>3.3.1</t>
  </si>
  <si>
    <t>3.3.2</t>
  </si>
  <si>
    <t>3.3.3</t>
  </si>
  <si>
    <t>SICRO</t>
  </si>
  <si>
    <t>COMPOSIÇÃO</t>
  </si>
  <si>
    <t>73856/2</t>
  </si>
  <si>
    <t>2S0496001</t>
  </si>
  <si>
    <t>Boca para bueiro simples tubular, diâmetro = 0,60m, em concreto ciclópico, incluindo formas, escavação, reaterro e materiais - Excluindo material, reaterro, jazida e transporte</t>
  </si>
  <si>
    <t>un.</t>
  </si>
  <si>
    <t>Boca de lobo simples com grelha de concreto - BLS01</t>
  </si>
  <si>
    <t>Assentamento de meio fio pré moldado 12x30x100cm</t>
  </si>
  <si>
    <t>PAVIMENTAÇÃO</t>
  </si>
  <si>
    <t>4.1</t>
  </si>
  <si>
    <t>Preparo da Superfície</t>
  </si>
  <si>
    <t>4.1.1</t>
  </si>
  <si>
    <t>4.1.2</t>
  </si>
  <si>
    <t>4.1.3</t>
  </si>
  <si>
    <t>4.1.4</t>
  </si>
  <si>
    <t>4.1.5</t>
  </si>
  <si>
    <t>4.1.6</t>
  </si>
  <si>
    <t>4.1.7</t>
  </si>
  <si>
    <t>Regularização e compactação do subleito até 20cm de espessura</t>
  </si>
  <si>
    <t>Execução e compactação de sub-base com brita corrida - Exclusive carga e transporte</t>
  </si>
  <si>
    <t>Execução e compactação de base com brita graduada simples - Exclusive carga e transporte</t>
  </si>
  <si>
    <t>Execução de imprimação com asfalto diluído CM-30</t>
  </si>
  <si>
    <t>Pintura de ligação com emulsão RR-2C</t>
  </si>
  <si>
    <t>Transporte de material asfáltico, com caminhão com capacidade de 20000L em rodovia pavimentada para distâncias médias de transporte igual ou inferior a 100km</t>
  </si>
  <si>
    <t>t X km</t>
  </si>
  <si>
    <t>4.2</t>
  </si>
  <si>
    <t>Pavimentação</t>
  </si>
  <si>
    <t>4.2.1</t>
  </si>
  <si>
    <t>4.2.2</t>
  </si>
  <si>
    <t>Construção de pavimento com aplicação de concreto betuminoso usinado a quente (CBUQ), camada de rolamento com espessura de 4,0cm  - Exclusive transporte</t>
  </si>
  <si>
    <t>ACESSIBILIDADE</t>
  </si>
  <si>
    <t>5.1</t>
  </si>
  <si>
    <t>5.1.1</t>
  </si>
  <si>
    <t>5.1.2</t>
  </si>
  <si>
    <t>5.1.3</t>
  </si>
  <si>
    <t>5.1.4</t>
  </si>
  <si>
    <t>5.1.5</t>
  </si>
  <si>
    <t>Reaterro manual apiloado com soquete</t>
  </si>
  <si>
    <t>Assentamento de piso podotátil de concreto - Direcional e Alerta 30x30x2,5cm</t>
  </si>
  <si>
    <r>
      <t xml:space="preserve">Execução de passeio (calçada) ou piso de concreto com concreto moldado </t>
    </r>
    <r>
      <rPr>
        <sz val="10"/>
        <color theme="1"/>
        <rFont val="Calibri"/>
        <family val="2"/>
        <scheme val="minor"/>
      </rPr>
      <t>in loco, usinado, acabamento convencional, espessura 8cm, armado</t>
    </r>
  </si>
  <si>
    <t>SINALIZAÇÃO VIÁRIA</t>
  </si>
  <si>
    <t>6.1</t>
  </si>
  <si>
    <t>Sinalização viária horizontal</t>
  </si>
  <si>
    <t>6.1.1</t>
  </si>
  <si>
    <t>Pintura de faixa com tinta acrílica e = 0,6mm</t>
  </si>
  <si>
    <t>6.2</t>
  </si>
  <si>
    <t>Sinalização Viária vertical</t>
  </si>
  <si>
    <t>6.2.1</t>
  </si>
  <si>
    <t>6.2.2</t>
  </si>
  <si>
    <t>6.2.3</t>
  </si>
  <si>
    <t>Fornecimento e implantação de placa de regulamentação, em aço, d = 1,00m - Película retrorrefletiva, tipo I e SI</t>
  </si>
  <si>
    <t>Fornecimento e implantação de placa de advertência, em aço, lado de 1,00m - Película retrorrefletiva, tipo I e SI</t>
  </si>
  <si>
    <t>Defensa maleável simples - Fornecimento e Implantação</t>
  </si>
  <si>
    <t>TOTAL</t>
  </si>
  <si>
    <t>Drenagem Pluvial e Pavimentação Asfáltica</t>
  </si>
  <si>
    <t>Rua Inácio Dutra, Estacas 0=PP à 8 + 2,95m, bairro Santa Rita</t>
  </si>
  <si>
    <t>_______________________________________________</t>
  </si>
  <si>
    <t>CÉLIO MACHADO</t>
  </si>
  <si>
    <t>Secretário de Transportes, Obras e Serviços Urbanos</t>
  </si>
  <si>
    <t>Gestor do Contrato</t>
  </si>
  <si>
    <t>AMANDA ALEXANDRE SVALDI</t>
  </si>
  <si>
    <t>Engenheira Civil - CREA/SC 124.549 - 1</t>
  </si>
  <si>
    <t>Fiscal do Contrato</t>
  </si>
  <si>
    <t>VALOR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</si>
  <si>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</si>
  <si>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</si>
  <si>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</si>
  <si>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</si>
  <si>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</si>
  <si>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</si>
  <si>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</si>
  <si>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</si>
  <si>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</si>
  <si>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</si>
  <si>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</si>
  <si>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</si>
  <si>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%</t>
  </si>
  <si>
    <t>R$</t>
  </si>
  <si>
    <t>Serviços Preliminares</t>
  </si>
  <si>
    <t>Identificação da obra</t>
  </si>
  <si>
    <t>Limpeza do terreno</t>
  </si>
  <si>
    <t>Terraplenagem</t>
  </si>
  <si>
    <t>Drenagem</t>
  </si>
  <si>
    <t>Preparo da superfície</t>
  </si>
  <si>
    <t>Acessibilidade</t>
  </si>
  <si>
    <t>Sinalização Viária</t>
  </si>
  <si>
    <t>Sinalização Viária Horizontal</t>
  </si>
  <si>
    <t>Sinalização Viária Vertical</t>
  </si>
  <si>
    <t>TOTAL ACUMULADO</t>
  </si>
  <si>
    <t>APELIDO DO EMPREENDIMENTO / DESCRIÇÃO DO LOTE</t>
  </si>
  <si>
    <t>Conforme legislação tributária municipal, definir estimativa de percentual da base de cálculo para o ISS:</t>
  </si>
  <si>
    <t>Sobre a base de cálculo, definir a respectiva alíquota do ISS (entre 2% e 5%):</t>
  </si>
  <si>
    <t>BDI 1</t>
  </si>
  <si>
    <t>TIPO DE OBRA</t>
  </si>
  <si>
    <t>Construção de Praças Urbanas, Rodovias, Ferrovias e recapeamento e pavimentação de vias urbanas</t>
  </si>
  <si>
    <t>Itens</t>
  </si>
  <si>
    <t>Siglas</t>
  </si>
  <si>
    <t>% Adotado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</si>
  <si>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</si>
  <si>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</si>
  <si>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</si>
  <si>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</si>
  <si>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</si>
  <si>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</si>
  <si>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 (Fórmula Acórdão TCU)</t>
  </si>
  <si>
    <t>BDI PAD</t>
  </si>
  <si>
    <t>Os valores de BDI foram calculados com o emprego da fórmula:</t>
  </si>
  <si>
    <t>BDI =</t>
  </si>
  <si>
    <t xml:space="preserve"> - 1</t>
  </si>
  <si>
    <t>(1-CP-ISS-CRPB)</t>
  </si>
  <si>
    <t>Rua Inácio Dutra - 0 = PP à 8 + 2,995m / Pavimentação asfáltica de trecho da Rua Inácio Dutra, bairro Santa Rita</t>
  </si>
  <si>
    <t>AC</t>
  </si>
  <si>
    <t>SG</t>
  </si>
  <si>
    <t>R</t>
  </si>
  <si>
    <t>DF</t>
  </si>
  <si>
    <t>L</t>
  </si>
  <si>
    <t>_________________________________</t>
  </si>
  <si>
    <t>Fiscal do contrato</t>
  </si>
  <si>
    <t>___________________________________</t>
  </si>
  <si>
    <t>Gestor do contrato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</si>
</sst>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%"/>
    <numFmt numFmtId="165" formatCode="_(&quot;R$ &quot;* #,##0.00_);_(&quot;R$ &quot;* \(#,##0.00\);_(&quot;R$ &quot;* \-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4" fontId="12" fillId="0" borderId="0" applyFill="0" applyBorder="0" applyAlignment="0" applyProtection="0"/>
    <xf numFmtId="0" fontId="12" fillId="0" borderId="0"/>
  </cellStyleXfs>
  <cellXfs count="87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0" xfId="0" applyFont="1" applyFill="1"/>
    <xf numFmtId="44" fontId="6" fillId="2" borderId="0" xfId="0" applyNumberFormat="1" applyFont="1" applyFill="1"/>
    <xf numFmtId="0" fontId="6" fillId="0" borderId="0" xfId="0" applyFont="1"/>
    <xf numFmtId="44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44" fontId="7" fillId="0" borderId="0" xfId="1" applyFont="1" applyAlignment="1">
      <alignment horizontal="center"/>
    </xf>
    <xf numFmtId="10" fontId="7" fillId="0" borderId="0" xfId="2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4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44" fontId="7" fillId="0" borderId="0" xfId="1" applyFont="1" applyAlignment="1">
      <alignment horizontal="center" vertical="center"/>
    </xf>
    <xf numFmtId="10" fontId="7" fillId="0" borderId="0" xfId="2" applyNumberFormat="1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10" fontId="7" fillId="0" borderId="0" xfId="2" applyNumberFormat="1" applyFont="1" applyFill="1" applyBorder="1" applyAlignment="1">
      <alignment horizontal="center" vertical="center"/>
    </xf>
    <xf numFmtId="44" fontId="2" fillId="2" borderId="0" xfId="0" applyNumberFormat="1" applyFont="1" applyFill="1"/>
    <xf numFmtId="10" fontId="0" fillId="0" borderId="0" xfId="0" applyNumberFormat="1"/>
    <xf numFmtId="14" fontId="0" fillId="0" borderId="0" xfId="0" applyNumberForma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2" applyNumberFormat="1" applyFont="1" applyAlignment="1">
      <alignment horizontal="center"/>
    </xf>
    <xf numFmtId="44" fontId="9" fillId="3" borderId="0" xfId="1" applyFont="1" applyFill="1" applyAlignment="1">
      <alignment horizontal="center"/>
    </xf>
    <xf numFmtId="44" fontId="9" fillId="0" borderId="0" xfId="1" applyFont="1" applyAlignment="1">
      <alignment horizontal="center"/>
    </xf>
    <xf numFmtId="44" fontId="8" fillId="0" borderId="0" xfId="1" applyFont="1" applyAlignment="1">
      <alignment horizontal="center"/>
    </xf>
    <xf numFmtId="10" fontId="9" fillId="3" borderId="0" xfId="2" applyNumberFormat="1" applyFont="1" applyFill="1" applyAlignment="1">
      <alignment horizontal="center"/>
    </xf>
    <xf numFmtId="44" fontId="9" fillId="3" borderId="0" xfId="0" applyNumberFormat="1" applyFont="1" applyFill="1" applyAlignment="1">
      <alignment horizontal="center"/>
    </xf>
    <xf numFmtId="44" fontId="9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/>
    </xf>
    <xf numFmtId="10" fontId="8" fillId="0" borderId="0" xfId="2" applyNumberFormat="1" applyFont="1" applyAlignment="1">
      <alignment horizontal="center"/>
    </xf>
    <xf numFmtId="0" fontId="11" fillId="0" borderId="0" xfId="5" applyFont="1" applyProtection="1"/>
    <xf numFmtId="0" fontId="10" fillId="0" borderId="0" xfId="5" applyFont="1" applyFill="1" applyBorder="1" applyAlignment="1" applyProtection="1">
      <alignment horizontal="left"/>
    </xf>
    <xf numFmtId="0" fontId="0" fillId="0" borderId="0" xfId="5" applyFont="1" applyProtection="1"/>
    <xf numFmtId="0" fontId="15" fillId="0" borderId="3" xfId="5" applyFont="1" applyBorder="1" applyAlignment="1" applyProtection="1">
      <alignment horizontal="center" vertical="center"/>
    </xf>
    <xf numFmtId="10" fontId="15" fillId="4" borderId="3" xfId="5" applyNumberFormat="1" applyFont="1" applyFill="1" applyBorder="1" applyAlignment="1" applyProtection="1">
      <alignment horizontal="center" vertical="center"/>
      <protection locked="0"/>
    </xf>
    <xf numFmtId="10" fontId="15" fillId="0" borderId="3" xfId="5" applyNumberFormat="1" applyFont="1" applyFill="1" applyBorder="1" applyAlignment="1" applyProtection="1">
      <alignment horizontal="center" vertical="center"/>
    </xf>
    <xf numFmtId="0" fontId="15" fillId="0" borderId="3" xfId="5" applyFont="1" applyFill="1" applyBorder="1" applyAlignment="1" applyProtection="1">
      <alignment horizontal="center" vertical="center" wrapText="1"/>
    </xf>
    <xf numFmtId="0" fontId="0" fillId="0" borderId="0" xfId="5" applyFont="1" applyBorder="1" applyAlignment="1" applyProtection="1">
      <alignment horizontal="center" vertical="top"/>
    </xf>
    <xf numFmtId="0" fontId="18" fillId="0" borderId="0" xfId="5" applyFont="1" applyBorder="1" applyAlignment="1" applyProtection="1">
      <alignment horizontal="center" vertical="top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4" fontId="8" fillId="0" borderId="0" xfId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10" fontId="8" fillId="0" borderId="0" xfId="2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top"/>
    </xf>
    <xf numFmtId="0" fontId="0" fillId="0" borderId="3" xfId="5" applyFont="1" applyBorder="1" applyAlignment="1" applyProtection="1">
      <alignment horizontal="center" vertical="center" wrapText="1"/>
    </xf>
    <xf numFmtId="0" fontId="0" fillId="0" borderId="0" xfId="5" applyFont="1" applyBorder="1" applyAlignment="1" applyProtection="1">
      <alignment horizontal="center" vertical="center"/>
    </xf>
    <xf numFmtId="0" fontId="13" fillId="0" borderId="3" xfId="5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top"/>
    </xf>
    <xf numFmtId="165" fontId="10" fillId="5" borderId="2" xfId="4" applyNumberFormat="1" applyFont="1" applyFill="1" applyBorder="1" applyAlignment="1" applyProtection="1">
      <alignment horizontal="left"/>
      <protection locked="0"/>
    </xf>
    <xf numFmtId="0" fontId="14" fillId="0" borderId="3" xfId="5" applyFont="1" applyBorder="1" applyAlignment="1" applyProtection="1">
      <alignment horizontal="center" vertical="center"/>
    </xf>
    <xf numFmtId="4" fontId="14" fillId="0" borderId="3" xfId="5" applyNumberFormat="1" applyFont="1" applyFill="1" applyBorder="1" applyAlignment="1" applyProtection="1">
      <alignment horizontal="center" vertical="center" wrapText="1"/>
    </xf>
    <xf numFmtId="0" fontId="10" fillId="0" borderId="2" xfId="4" applyNumberFormat="1" applyFont="1" applyFill="1" applyBorder="1" applyAlignment="1" applyProtection="1">
      <alignment horizontal="left" wrapText="1"/>
    </xf>
    <xf numFmtId="0" fontId="10" fillId="0" borderId="3" xfId="5" applyFont="1" applyFill="1" applyBorder="1" applyAlignment="1" applyProtection="1">
      <alignment horizontal="left" wrapText="1"/>
    </xf>
    <xf numFmtId="10" fontId="10" fillId="4" borderId="3" xfId="5" applyNumberFormat="1" applyFont="1" applyFill="1" applyBorder="1" applyAlignment="1" applyProtection="1">
      <alignment horizontal="center"/>
      <protection locked="0"/>
    </xf>
    <xf numFmtId="0" fontId="10" fillId="0" borderId="3" xfId="5" applyFont="1" applyFill="1" applyBorder="1" applyAlignment="1" applyProtection="1">
      <alignment horizontal="left"/>
    </xf>
  </cellXfs>
  <cellStyles count="6">
    <cellStyle name="Moeda" xfId="1" builtinId="4"/>
    <cellStyle name="Moeda_Composicao BDI v2.1" xfId="4"/>
    <cellStyle name="Normal" xfId="0" builtinId="0"/>
    <cellStyle name="Normal 2" xfId="5"/>
    <cellStyle name="Normal_FICHA DE VERIFICAÇÃO PRELIMINAR - Plano R" xfId="3"/>
    <cellStyle name="Porcentagem" xfId="2" builtinId="5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ita\Downloads\PMPL\2018\CEF%20-%20Rua%20In&#225;cio%20Dutra\Rua%20In&#225;cio%20Dutra\Or&#231;amento\PLANILHA%20M&#218;LTIPLA%20V3.0.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6">
          <cell r="F16" t="str">
            <v>Rua Inácio Dutra - 0 = PP à 8+2,95m</v>
          </cell>
        </row>
        <row r="17">
          <cell r="F17" t="str">
            <v>Drenagem e Pavimentação Asfáltica de trecho da Rua Inácio Dutra (0=PP à 8+2,95m), bairro Santa Rita</v>
          </cell>
        </row>
        <row r="18">
          <cell r="F18" t="str">
            <v>NÃO 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69"/>
  <sheetViews>
    <sheetView view="pageLayout" topLeftCell="A61" workbookViewId="0">
      <selection activeCell="G66" sqref="G66:I69"/>
    </sheetView>
  </sheetViews>
  <sheetFormatPr defaultRowHeight="15"/>
  <cols>
    <col min="1" max="1" width="5.7109375" bestFit="1" customWidth="1"/>
    <col min="2" max="2" width="14.140625" bestFit="1" customWidth="1"/>
    <col min="4" max="4" width="34" customWidth="1"/>
    <col min="5" max="5" width="7.7109375" bestFit="1" customWidth="1"/>
    <col min="6" max="6" width="8.140625" bestFit="1" customWidth="1"/>
    <col min="7" max="7" width="16.85546875" bestFit="1" customWidth="1"/>
    <col min="8" max="8" width="9.7109375" bestFit="1" customWidth="1"/>
    <col min="9" max="9" width="16.28515625" bestFit="1" customWidth="1"/>
    <col min="10" max="10" width="14.28515625" bestFit="1" customWidth="1"/>
  </cols>
  <sheetData>
    <row r="2" spans="1:10">
      <c r="A2" s="61" t="s">
        <v>6</v>
      </c>
      <c r="B2" s="61"/>
      <c r="C2" s="59" t="s">
        <v>127</v>
      </c>
      <c r="D2" s="59"/>
      <c r="E2" s="59"/>
      <c r="F2" s="59"/>
      <c r="G2" s="59"/>
      <c r="H2" s="1" t="s">
        <v>8</v>
      </c>
      <c r="I2" s="30">
        <v>43255</v>
      </c>
    </row>
    <row r="3" spans="1:10">
      <c r="A3" s="61" t="s">
        <v>7</v>
      </c>
      <c r="B3" s="61"/>
      <c r="C3" s="59" t="s">
        <v>128</v>
      </c>
      <c r="D3" s="59"/>
      <c r="E3" s="59"/>
      <c r="F3" s="59"/>
      <c r="G3" s="59"/>
      <c r="H3" s="1" t="s">
        <v>9</v>
      </c>
      <c r="I3" s="29">
        <v>0.2407</v>
      </c>
    </row>
    <row r="4" spans="1:10">
      <c r="A4" s="61"/>
      <c r="B4" s="61"/>
    </row>
    <row r="5" spans="1:10">
      <c r="A5" s="62" t="s">
        <v>10</v>
      </c>
      <c r="B5" s="62"/>
      <c r="C5" s="62"/>
      <c r="D5" s="62"/>
      <c r="E5" s="62"/>
      <c r="F5" s="62"/>
      <c r="G5" s="62"/>
      <c r="H5" s="62"/>
      <c r="I5" s="62"/>
      <c r="J5" s="62"/>
    </row>
    <row r="7" spans="1:10">
      <c r="A7" s="4" t="s">
        <v>0</v>
      </c>
      <c r="B7" s="4" t="s">
        <v>1</v>
      </c>
      <c r="C7" s="4" t="s">
        <v>2</v>
      </c>
      <c r="D7" s="4" t="s">
        <v>3</v>
      </c>
      <c r="E7" s="4" t="s">
        <v>18</v>
      </c>
      <c r="F7" s="4" t="s">
        <v>20</v>
      </c>
      <c r="G7" s="4" t="s">
        <v>21</v>
      </c>
      <c r="H7" s="4" t="s">
        <v>22</v>
      </c>
      <c r="I7" s="4" t="s">
        <v>4</v>
      </c>
      <c r="J7" s="4" t="s">
        <v>5</v>
      </c>
    </row>
    <row r="8" spans="1:10">
      <c r="A8" s="54">
        <v>1</v>
      </c>
      <c r="B8" s="54"/>
      <c r="C8" s="55" t="s">
        <v>11</v>
      </c>
      <c r="D8" s="55"/>
      <c r="E8" s="55"/>
      <c r="F8" s="55"/>
      <c r="G8" s="55"/>
      <c r="H8" s="55"/>
      <c r="I8" s="5"/>
      <c r="J8" s="6">
        <f>J9+J11</f>
        <v>1816.8700000000001</v>
      </c>
    </row>
    <row r="9" spans="1:10">
      <c r="A9" s="56" t="s">
        <v>12</v>
      </c>
      <c r="B9" s="56"/>
      <c r="C9" s="57" t="s">
        <v>13</v>
      </c>
      <c r="D9" s="57"/>
      <c r="E9" s="57"/>
      <c r="F9" s="57"/>
      <c r="G9" s="57"/>
      <c r="H9" s="57"/>
      <c r="I9" s="7"/>
      <c r="J9" s="8">
        <f>J10</f>
        <v>995.08</v>
      </c>
    </row>
    <row r="10" spans="1:10" s="2" customFormat="1">
      <c r="A10" s="9" t="s">
        <v>14</v>
      </c>
      <c r="B10" s="9" t="s">
        <v>16</v>
      </c>
      <c r="C10" s="9" t="s">
        <v>15</v>
      </c>
      <c r="D10" s="10" t="s">
        <v>17</v>
      </c>
      <c r="E10" s="9" t="s">
        <v>19</v>
      </c>
      <c r="F10" s="11">
        <v>2.5</v>
      </c>
      <c r="G10" s="12">
        <v>320.81</v>
      </c>
      <c r="H10" s="13">
        <v>0.2407</v>
      </c>
      <c r="I10" s="14">
        <f>G10*(1+H10)</f>
        <v>398.02896699999997</v>
      </c>
      <c r="J10" s="15">
        <v>995.08</v>
      </c>
    </row>
    <row r="11" spans="1:10">
      <c r="A11" s="56" t="s">
        <v>23</v>
      </c>
      <c r="B11" s="56"/>
      <c r="C11" s="57" t="s">
        <v>24</v>
      </c>
      <c r="D11" s="57"/>
      <c r="E11" s="57"/>
      <c r="F11" s="57"/>
      <c r="G11" s="57"/>
      <c r="H11" s="57"/>
      <c r="I11" s="7"/>
      <c r="J11" s="8">
        <f>SUM(J12:J14)</f>
        <v>821.79000000000008</v>
      </c>
    </row>
    <row r="12" spans="1:10" ht="38.25">
      <c r="A12" s="16" t="s">
        <v>25</v>
      </c>
      <c r="B12" s="16" t="s">
        <v>16</v>
      </c>
      <c r="C12" s="16" t="s">
        <v>28</v>
      </c>
      <c r="D12" s="17" t="s">
        <v>29</v>
      </c>
      <c r="E12" s="16" t="s">
        <v>19</v>
      </c>
      <c r="F12" s="18">
        <v>1140.6500000000001</v>
      </c>
      <c r="G12" s="19">
        <v>0.48</v>
      </c>
      <c r="H12" s="20">
        <v>0.2407</v>
      </c>
      <c r="I12" s="21">
        <f>G12*(1+H12)</f>
        <v>0.59553599999999995</v>
      </c>
      <c r="J12" s="22">
        <v>684.39</v>
      </c>
    </row>
    <row r="13" spans="1:10" ht="25.5">
      <c r="A13" s="16" t="s">
        <v>26</v>
      </c>
      <c r="B13" s="16" t="s">
        <v>16</v>
      </c>
      <c r="C13" s="16">
        <v>72898</v>
      </c>
      <c r="D13" s="17" t="s">
        <v>30</v>
      </c>
      <c r="E13" s="16" t="s">
        <v>32</v>
      </c>
      <c r="F13" s="18">
        <v>12</v>
      </c>
      <c r="G13" s="19">
        <v>3.73</v>
      </c>
      <c r="H13" s="20">
        <v>0.2407</v>
      </c>
      <c r="I13" s="21">
        <f>G13*(1+H13)</f>
        <v>4.6278109999999995</v>
      </c>
      <c r="J13" s="22">
        <v>55.56</v>
      </c>
    </row>
    <row r="14" spans="1:10" ht="38.25">
      <c r="A14" s="16" t="s">
        <v>27</v>
      </c>
      <c r="B14" s="16" t="s">
        <v>16</v>
      </c>
      <c r="C14" s="16">
        <v>72900</v>
      </c>
      <c r="D14" s="17" t="s">
        <v>31</v>
      </c>
      <c r="E14" s="16" t="s">
        <v>32</v>
      </c>
      <c r="F14" s="18">
        <v>12</v>
      </c>
      <c r="G14" s="19">
        <v>5.5</v>
      </c>
      <c r="H14" s="20">
        <v>0.2407</v>
      </c>
      <c r="I14" s="21">
        <f>G14*(1+H14)</f>
        <v>6.8238499999999993</v>
      </c>
      <c r="J14" s="22">
        <v>81.84</v>
      </c>
    </row>
    <row r="15" spans="1:10">
      <c r="A15" s="54">
        <v>2</v>
      </c>
      <c r="B15" s="54"/>
      <c r="C15" s="55" t="s">
        <v>33</v>
      </c>
      <c r="D15" s="55"/>
      <c r="E15" s="55"/>
      <c r="F15" s="55"/>
      <c r="G15" s="55"/>
      <c r="H15" s="55"/>
      <c r="I15" s="5"/>
      <c r="J15" s="6">
        <f>J16</f>
        <v>39089.409999999996</v>
      </c>
    </row>
    <row r="16" spans="1:10">
      <c r="A16" s="56" t="s">
        <v>34</v>
      </c>
      <c r="B16" s="56"/>
      <c r="C16" s="57" t="s">
        <v>35</v>
      </c>
      <c r="D16" s="57"/>
      <c r="E16" s="57"/>
      <c r="F16" s="57"/>
      <c r="G16" s="57"/>
      <c r="H16" s="57"/>
      <c r="I16" s="7"/>
      <c r="J16" s="8">
        <f>SUM(J17:J21)</f>
        <v>39089.409999999996</v>
      </c>
    </row>
    <row r="17" spans="1:10" ht="63.75">
      <c r="A17" s="16" t="s">
        <v>36</v>
      </c>
      <c r="B17" s="16" t="s">
        <v>16</v>
      </c>
      <c r="C17" s="16" t="s">
        <v>41</v>
      </c>
      <c r="D17" s="17" t="s">
        <v>43</v>
      </c>
      <c r="E17" s="16" t="s">
        <v>32</v>
      </c>
      <c r="F17" s="18">
        <v>22.69</v>
      </c>
      <c r="G17" s="19">
        <v>2.97</v>
      </c>
      <c r="H17" s="20">
        <v>0.2407</v>
      </c>
      <c r="I17" s="21">
        <f>G17*(1+H17)</f>
        <v>3.684879</v>
      </c>
      <c r="J17" s="22">
        <v>83.5</v>
      </c>
    </row>
    <row r="18" spans="1:10" ht="51">
      <c r="A18" s="16" t="s">
        <v>37</v>
      </c>
      <c r="B18" s="16" t="s">
        <v>16</v>
      </c>
      <c r="C18" s="16">
        <v>96385</v>
      </c>
      <c r="D18" s="17" t="s">
        <v>45</v>
      </c>
      <c r="E18" s="16" t="s">
        <v>32</v>
      </c>
      <c r="F18" s="18">
        <v>585.11</v>
      </c>
      <c r="G18" s="19">
        <v>5.21</v>
      </c>
      <c r="H18" s="20">
        <v>0.2407</v>
      </c>
      <c r="I18" s="21">
        <f>G18*(1+H18)</f>
        <v>6.4640469999999999</v>
      </c>
      <c r="J18" s="22">
        <v>3779.81</v>
      </c>
    </row>
    <row r="19" spans="1:10" ht="25.5">
      <c r="A19" s="16" t="s">
        <v>38</v>
      </c>
      <c r="B19" s="16" t="s">
        <v>42</v>
      </c>
      <c r="C19" s="16">
        <v>6077</v>
      </c>
      <c r="D19" s="17" t="s">
        <v>44</v>
      </c>
      <c r="E19" s="16" t="s">
        <v>32</v>
      </c>
      <c r="F19" s="18">
        <v>787.39</v>
      </c>
      <c r="G19" s="19">
        <v>20.21</v>
      </c>
      <c r="H19" s="20">
        <v>0.2407</v>
      </c>
      <c r="I19" s="21">
        <f>G19*(1+H19)</f>
        <v>25.074546999999999</v>
      </c>
      <c r="J19" s="22">
        <v>19739.87</v>
      </c>
    </row>
    <row r="20" spans="1:10" ht="25.5">
      <c r="A20" s="16" t="s">
        <v>39</v>
      </c>
      <c r="B20" s="16" t="s">
        <v>16</v>
      </c>
      <c r="C20" s="16">
        <v>97912</v>
      </c>
      <c r="D20" s="17" t="s">
        <v>46</v>
      </c>
      <c r="E20" s="16" t="s">
        <v>47</v>
      </c>
      <c r="F20" s="18">
        <v>5826.67</v>
      </c>
      <c r="G20" s="19">
        <v>2.0299999999999998</v>
      </c>
      <c r="H20" s="20">
        <v>0.2407</v>
      </c>
      <c r="I20" s="21">
        <f>G20*(1+H20)</f>
        <v>2.5186209999999996</v>
      </c>
      <c r="J20" s="22">
        <v>14683.21</v>
      </c>
    </row>
    <row r="21" spans="1:10" ht="25.5">
      <c r="A21" s="16" t="s">
        <v>40</v>
      </c>
      <c r="B21" s="16" t="s">
        <v>16</v>
      </c>
      <c r="C21" s="16">
        <v>41721</v>
      </c>
      <c r="D21" s="17" t="s">
        <v>48</v>
      </c>
      <c r="E21" s="16" t="s">
        <v>32</v>
      </c>
      <c r="F21" s="18">
        <v>228.13</v>
      </c>
      <c r="G21" s="19">
        <v>2.84</v>
      </c>
      <c r="H21" s="20">
        <v>0.2407</v>
      </c>
      <c r="I21" s="21">
        <f>G21*(1+H21)</f>
        <v>3.5235879999999997</v>
      </c>
      <c r="J21" s="22">
        <v>803.02</v>
      </c>
    </row>
    <row r="22" spans="1:10">
      <c r="A22" s="54">
        <v>3</v>
      </c>
      <c r="B22" s="54"/>
      <c r="C22" s="55" t="s">
        <v>49</v>
      </c>
      <c r="D22" s="55"/>
      <c r="E22" s="55"/>
      <c r="F22" s="55"/>
      <c r="G22" s="55"/>
      <c r="H22" s="55"/>
      <c r="I22" s="5"/>
      <c r="J22" s="6">
        <f>J23+J26+J32</f>
        <v>51129.2</v>
      </c>
    </row>
    <row r="23" spans="1:10">
      <c r="A23" s="56" t="s">
        <v>50</v>
      </c>
      <c r="B23" s="56"/>
      <c r="C23" s="57" t="s">
        <v>35</v>
      </c>
      <c r="D23" s="57"/>
      <c r="E23" s="57"/>
      <c r="F23" s="57"/>
      <c r="G23" s="57"/>
      <c r="H23" s="57"/>
      <c r="I23" s="7"/>
      <c r="J23" s="8">
        <f>SUM(J24:J25)</f>
        <v>3095.07</v>
      </c>
    </row>
    <row r="24" spans="1:10" ht="89.25">
      <c r="A24" s="23" t="s">
        <v>51</v>
      </c>
      <c r="B24" s="23" t="s">
        <v>16</v>
      </c>
      <c r="C24" s="23">
        <v>90091</v>
      </c>
      <c r="D24" s="24" t="s">
        <v>53</v>
      </c>
      <c r="E24" s="23" t="s">
        <v>32</v>
      </c>
      <c r="F24" s="25">
        <v>169.02</v>
      </c>
      <c r="G24" s="26">
        <v>4.8600000000000003</v>
      </c>
      <c r="H24" s="27">
        <v>0.2407</v>
      </c>
      <c r="I24" s="21">
        <f>G24*(1+H24)</f>
        <v>6.0298020000000001</v>
      </c>
      <c r="J24" s="22">
        <v>1019.19</v>
      </c>
    </row>
    <row r="25" spans="1:10" ht="89.25">
      <c r="A25" s="3" t="s">
        <v>52</v>
      </c>
      <c r="B25" s="3" t="s">
        <v>16</v>
      </c>
      <c r="C25" s="3">
        <v>93379</v>
      </c>
      <c r="D25" s="24" t="s">
        <v>54</v>
      </c>
      <c r="E25" s="23" t="s">
        <v>32</v>
      </c>
      <c r="F25" s="25">
        <v>128.22</v>
      </c>
      <c r="G25" s="26">
        <v>13.06</v>
      </c>
      <c r="H25" s="27">
        <v>0.2407</v>
      </c>
      <c r="I25" s="21">
        <v>16.190000000000001</v>
      </c>
      <c r="J25" s="22">
        <v>2075.88</v>
      </c>
    </row>
    <row r="26" spans="1:10">
      <c r="A26" s="56" t="s">
        <v>55</v>
      </c>
      <c r="B26" s="56"/>
      <c r="C26" s="57" t="s">
        <v>56</v>
      </c>
      <c r="D26" s="57"/>
      <c r="E26" s="57"/>
      <c r="F26" s="57"/>
      <c r="G26" s="57"/>
      <c r="H26" s="57"/>
      <c r="I26" s="7"/>
      <c r="J26" s="8">
        <f>SUM(J27:J31)</f>
        <v>23599.469999999998</v>
      </c>
    </row>
    <row r="27" spans="1:10" ht="63.75">
      <c r="A27" s="3" t="s">
        <v>57</v>
      </c>
      <c r="B27" s="3" t="s">
        <v>16</v>
      </c>
      <c r="C27" s="3">
        <v>95567</v>
      </c>
      <c r="D27" s="24" t="s">
        <v>62</v>
      </c>
      <c r="E27" s="23" t="s">
        <v>63</v>
      </c>
      <c r="F27" s="25">
        <v>35</v>
      </c>
      <c r="G27" s="26">
        <v>61.56</v>
      </c>
      <c r="H27" s="27">
        <v>0.2407</v>
      </c>
      <c r="I27" s="21">
        <v>76.38</v>
      </c>
      <c r="J27" s="22">
        <v>2673.3</v>
      </c>
    </row>
    <row r="28" spans="1:10" ht="63.75">
      <c r="A28" s="3" t="s">
        <v>58</v>
      </c>
      <c r="B28" s="3" t="s">
        <v>16</v>
      </c>
      <c r="C28" s="3">
        <v>95568</v>
      </c>
      <c r="D28" s="24" t="s">
        <v>64</v>
      </c>
      <c r="E28" s="23" t="s">
        <v>63</v>
      </c>
      <c r="F28" s="25">
        <v>21</v>
      </c>
      <c r="G28" s="26">
        <v>80.09</v>
      </c>
      <c r="H28" s="27">
        <v>0.2407</v>
      </c>
      <c r="I28" s="21">
        <v>99.37</v>
      </c>
      <c r="J28" s="22">
        <v>2086.77</v>
      </c>
    </row>
    <row r="29" spans="1:10" ht="38.25">
      <c r="A29" s="3" t="s">
        <v>59</v>
      </c>
      <c r="B29" s="3" t="s">
        <v>42</v>
      </c>
      <c r="C29" s="3">
        <v>7725</v>
      </c>
      <c r="D29" s="24" t="s">
        <v>65</v>
      </c>
      <c r="E29" s="23" t="s">
        <v>63</v>
      </c>
      <c r="F29" s="25">
        <v>98</v>
      </c>
      <c r="G29" s="26">
        <v>92</v>
      </c>
      <c r="H29" s="27">
        <v>0.2407</v>
      </c>
      <c r="I29" s="21">
        <v>101.74</v>
      </c>
      <c r="J29" s="22">
        <v>9970.52</v>
      </c>
    </row>
    <row r="30" spans="1:10" ht="63.75">
      <c r="A30" s="3" t="s">
        <v>60</v>
      </c>
      <c r="B30" s="3" t="s">
        <v>16</v>
      </c>
      <c r="C30" s="3">
        <v>92811</v>
      </c>
      <c r="D30" s="24" t="s">
        <v>66</v>
      </c>
      <c r="E30" s="23" t="s">
        <v>63</v>
      </c>
      <c r="F30" s="25">
        <v>98</v>
      </c>
      <c r="G30" s="26">
        <v>57.87</v>
      </c>
      <c r="H30" s="27">
        <v>0.2407</v>
      </c>
      <c r="I30" s="21">
        <v>71.8</v>
      </c>
      <c r="J30" s="22">
        <v>7036.4</v>
      </c>
    </row>
    <row r="31" spans="1:10" ht="51">
      <c r="A31" s="3" t="s">
        <v>61</v>
      </c>
      <c r="B31" s="3" t="s">
        <v>16</v>
      </c>
      <c r="C31" s="3">
        <v>94107</v>
      </c>
      <c r="D31" s="24" t="s">
        <v>67</v>
      </c>
      <c r="E31" s="23" t="s">
        <v>32</v>
      </c>
      <c r="F31" s="25">
        <v>8</v>
      </c>
      <c r="G31" s="26">
        <v>184.62</v>
      </c>
      <c r="H31" s="27">
        <v>0.2407</v>
      </c>
      <c r="I31" s="21">
        <v>229.06</v>
      </c>
      <c r="J31" s="22">
        <v>1832.48</v>
      </c>
    </row>
    <row r="32" spans="1:10">
      <c r="A32" s="56" t="s">
        <v>68</v>
      </c>
      <c r="B32" s="56"/>
      <c r="C32" s="57" t="s">
        <v>69</v>
      </c>
      <c r="D32" s="57"/>
      <c r="E32" s="57"/>
      <c r="F32" s="57"/>
      <c r="G32" s="57"/>
      <c r="H32" s="57"/>
      <c r="I32" s="7"/>
      <c r="J32" s="8">
        <f>SUM(J33:J35)</f>
        <v>24434.66</v>
      </c>
    </row>
    <row r="33" spans="1:10" ht="63.75">
      <c r="A33" s="3" t="s">
        <v>70</v>
      </c>
      <c r="B33" s="3" t="s">
        <v>16</v>
      </c>
      <c r="C33" s="3" t="s">
        <v>75</v>
      </c>
      <c r="D33" s="24" t="s">
        <v>77</v>
      </c>
      <c r="E33" s="23" t="s">
        <v>78</v>
      </c>
      <c r="F33" s="25">
        <v>1</v>
      </c>
      <c r="G33" s="26">
        <v>959.8</v>
      </c>
      <c r="H33" s="27">
        <v>0.2407</v>
      </c>
      <c r="I33" s="21">
        <v>1190.82</v>
      </c>
      <c r="J33" s="22">
        <v>1190.82</v>
      </c>
    </row>
    <row r="34" spans="1:10" ht="25.5">
      <c r="A34" s="3" t="s">
        <v>71</v>
      </c>
      <c r="B34" s="3" t="s">
        <v>73</v>
      </c>
      <c r="C34" s="3" t="s">
        <v>76</v>
      </c>
      <c r="D34" s="24" t="s">
        <v>79</v>
      </c>
      <c r="E34" s="23" t="s">
        <v>78</v>
      </c>
      <c r="F34" s="25">
        <v>10</v>
      </c>
      <c r="G34" s="26">
        <v>591.07000000000005</v>
      </c>
      <c r="H34" s="27">
        <v>0.2407</v>
      </c>
      <c r="I34" s="21">
        <v>733.34</v>
      </c>
      <c r="J34" s="22">
        <v>7333.4</v>
      </c>
    </row>
    <row r="35" spans="1:10" ht="25.5">
      <c r="A35" s="3" t="s">
        <v>72</v>
      </c>
      <c r="B35" s="3" t="s">
        <v>74</v>
      </c>
      <c r="C35" s="3">
        <v>3</v>
      </c>
      <c r="D35" s="24" t="s">
        <v>80</v>
      </c>
      <c r="E35" s="23" t="s">
        <v>63</v>
      </c>
      <c r="F35" s="25">
        <v>325.89999999999998</v>
      </c>
      <c r="G35" s="26">
        <v>39.35</v>
      </c>
      <c r="H35" s="27">
        <v>0.2407</v>
      </c>
      <c r="I35" s="21">
        <v>48.82</v>
      </c>
      <c r="J35" s="22">
        <v>15910.44</v>
      </c>
    </row>
    <row r="36" spans="1:10">
      <c r="A36" s="54">
        <v>4</v>
      </c>
      <c r="B36" s="54"/>
      <c r="C36" s="55" t="s">
        <v>81</v>
      </c>
      <c r="D36" s="55"/>
      <c r="E36" s="55"/>
      <c r="F36" s="55"/>
      <c r="G36" s="55"/>
      <c r="H36" s="55"/>
      <c r="I36" s="5"/>
      <c r="J36" s="6">
        <f>J37+J45</f>
        <v>113919.98000000001</v>
      </c>
    </row>
    <row r="37" spans="1:10">
      <c r="A37" s="56" t="s">
        <v>82</v>
      </c>
      <c r="B37" s="56"/>
      <c r="C37" s="57" t="s">
        <v>83</v>
      </c>
      <c r="D37" s="57"/>
      <c r="E37" s="57"/>
      <c r="F37" s="57"/>
      <c r="G37" s="57"/>
      <c r="H37" s="57"/>
      <c r="I37" s="7"/>
      <c r="J37" s="8">
        <f>SUM(J38:J44)</f>
        <v>64335.680000000008</v>
      </c>
    </row>
    <row r="38" spans="1:10" ht="25.5">
      <c r="A38" s="23" t="s">
        <v>84</v>
      </c>
      <c r="B38" s="23" t="s">
        <v>16</v>
      </c>
      <c r="C38" s="23">
        <v>72961</v>
      </c>
      <c r="D38" s="24" t="s">
        <v>91</v>
      </c>
      <c r="E38" s="23" t="s">
        <v>19</v>
      </c>
      <c r="F38" s="25">
        <v>1140.6500000000001</v>
      </c>
      <c r="G38" s="26">
        <v>1.22</v>
      </c>
      <c r="H38" s="27">
        <v>0.2407</v>
      </c>
      <c r="I38" s="21">
        <f t="shared" ref="I38:I44" si="0">G38*(1+H38)</f>
        <v>1.5136539999999998</v>
      </c>
      <c r="J38" s="22">
        <v>1722.38</v>
      </c>
    </row>
    <row r="39" spans="1:10" ht="38.25">
      <c r="A39" s="23" t="s">
        <v>85</v>
      </c>
      <c r="B39" s="23" t="s">
        <v>74</v>
      </c>
      <c r="C39" s="23">
        <v>4</v>
      </c>
      <c r="D39" s="24" t="s">
        <v>92</v>
      </c>
      <c r="E39" s="23" t="s">
        <v>32</v>
      </c>
      <c r="F39" s="25">
        <v>193.91</v>
      </c>
      <c r="G39" s="26">
        <v>82.42</v>
      </c>
      <c r="H39" s="27">
        <v>0.2407</v>
      </c>
      <c r="I39" s="21">
        <f t="shared" si="0"/>
        <v>102.258494</v>
      </c>
      <c r="J39" s="22">
        <v>19829.240000000002</v>
      </c>
    </row>
    <row r="40" spans="1:10" ht="38.25">
      <c r="A40" s="23" t="s">
        <v>86</v>
      </c>
      <c r="B40" s="23" t="s">
        <v>16</v>
      </c>
      <c r="C40" s="23">
        <v>96396</v>
      </c>
      <c r="D40" s="24" t="s">
        <v>93</v>
      </c>
      <c r="E40" s="23" t="s">
        <v>32</v>
      </c>
      <c r="F40" s="25">
        <v>205.32</v>
      </c>
      <c r="G40" s="26">
        <v>105.78</v>
      </c>
      <c r="H40" s="27">
        <v>0.2407</v>
      </c>
      <c r="I40" s="21">
        <f t="shared" si="0"/>
        <v>131.24124599999999</v>
      </c>
      <c r="J40" s="22">
        <v>26946.2</v>
      </c>
    </row>
    <row r="41" spans="1:10" ht="25.5">
      <c r="A41" s="23" t="s">
        <v>87</v>
      </c>
      <c r="B41" s="23" t="s">
        <v>16</v>
      </c>
      <c r="C41" s="23">
        <v>96401</v>
      </c>
      <c r="D41" s="24" t="s">
        <v>94</v>
      </c>
      <c r="E41" s="23" t="s">
        <v>19</v>
      </c>
      <c r="F41" s="25">
        <v>1140.6500000000001</v>
      </c>
      <c r="G41" s="26">
        <v>4.24</v>
      </c>
      <c r="H41" s="27">
        <v>0.2407</v>
      </c>
      <c r="I41" s="21">
        <f t="shared" si="0"/>
        <v>5.2605680000000001</v>
      </c>
      <c r="J41" s="22">
        <v>5999.82</v>
      </c>
    </row>
    <row r="42" spans="1:10">
      <c r="A42" s="23" t="s">
        <v>88</v>
      </c>
      <c r="B42" s="23" t="s">
        <v>16</v>
      </c>
      <c r="C42" s="23">
        <v>72943</v>
      </c>
      <c r="D42" s="24" t="s">
        <v>95</v>
      </c>
      <c r="E42" s="23" t="s">
        <v>19</v>
      </c>
      <c r="F42" s="25">
        <v>1140.6500000000001</v>
      </c>
      <c r="G42" s="26">
        <v>1.41</v>
      </c>
      <c r="H42" s="27">
        <v>0.2407</v>
      </c>
      <c r="I42" s="21">
        <f t="shared" si="0"/>
        <v>1.7493869999999998</v>
      </c>
      <c r="J42" s="22">
        <v>1996.14</v>
      </c>
    </row>
    <row r="43" spans="1:10" ht="25.5">
      <c r="A43" s="23" t="s">
        <v>89</v>
      </c>
      <c r="B43" s="23" t="s">
        <v>16</v>
      </c>
      <c r="C43" s="23">
        <v>97912</v>
      </c>
      <c r="D43" s="24" t="s">
        <v>46</v>
      </c>
      <c r="E43" s="23" t="s">
        <v>47</v>
      </c>
      <c r="F43" s="25">
        <v>2954.3</v>
      </c>
      <c r="G43" s="26">
        <v>2.0299999999999998</v>
      </c>
      <c r="H43" s="27">
        <v>0.2407</v>
      </c>
      <c r="I43" s="21">
        <f t="shared" si="0"/>
        <v>2.5186209999999996</v>
      </c>
      <c r="J43" s="22">
        <v>7444.84</v>
      </c>
    </row>
    <row r="44" spans="1:10" ht="63.75">
      <c r="A44" s="23" t="s">
        <v>90</v>
      </c>
      <c r="B44" s="23" t="s">
        <v>16</v>
      </c>
      <c r="C44" s="23">
        <v>93177</v>
      </c>
      <c r="D44" s="24" t="s">
        <v>96</v>
      </c>
      <c r="E44" s="23" t="s">
        <v>97</v>
      </c>
      <c r="F44" s="25">
        <v>220.59</v>
      </c>
      <c r="G44" s="26">
        <v>1.45</v>
      </c>
      <c r="H44" s="27">
        <v>0.2407</v>
      </c>
      <c r="I44" s="21">
        <f t="shared" si="0"/>
        <v>1.7990149999999998</v>
      </c>
      <c r="J44" s="22">
        <v>397.06</v>
      </c>
    </row>
    <row r="45" spans="1:10">
      <c r="A45" s="56" t="s">
        <v>98</v>
      </c>
      <c r="B45" s="56"/>
      <c r="C45" s="57" t="s">
        <v>99</v>
      </c>
      <c r="D45" s="57"/>
      <c r="E45" s="57"/>
      <c r="F45" s="57"/>
      <c r="G45" s="57"/>
      <c r="H45" s="57"/>
      <c r="I45" s="7"/>
      <c r="J45" s="8">
        <f>J46+J47</f>
        <v>49584.3</v>
      </c>
    </row>
    <row r="46" spans="1:10" ht="51">
      <c r="A46" s="23" t="s">
        <v>100</v>
      </c>
      <c r="B46" s="23" t="s">
        <v>16</v>
      </c>
      <c r="C46" s="23">
        <v>95993</v>
      </c>
      <c r="D46" s="24" t="s">
        <v>102</v>
      </c>
      <c r="E46" s="23" t="s">
        <v>32</v>
      </c>
      <c r="F46" s="25">
        <v>45.63</v>
      </c>
      <c r="G46" s="26">
        <v>719.88</v>
      </c>
      <c r="H46" s="27">
        <v>0.2407</v>
      </c>
      <c r="I46" s="21">
        <v>893.16</v>
      </c>
      <c r="J46" s="22">
        <v>40754.89</v>
      </c>
    </row>
    <row r="47" spans="1:10" ht="63.75">
      <c r="A47" s="23" t="s">
        <v>101</v>
      </c>
      <c r="B47" s="23" t="s">
        <v>16</v>
      </c>
      <c r="C47" s="23">
        <v>93177</v>
      </c>
      <c r="D47" s="24" t="s">
        <v>96</v>
      </c>
      <c r="E47" s="23" t="s">
        <v>97</v>
      </c>
      <c r="F47" s="25">
        <v>4905.2299999999996</v>
      </c>
      <c r="G47" s="26">
        <v>1.45</v>
      </c>
      <c r="H47" s="27">
        <v>0.2407</v>
      </c>
      <c r="I47" s="21">
        <v>1.8</v>
      </c>
      <c r="J47" s="22">
        <v>8829.41</v>
      </c>
    </row>
    <row r="48" spans="1:10">
      <c r="A48" s="54">
        <v>5</v>
      </c>
      <c r="B48" s="54"/>
      <c r="C48" s="55" t="s">
        <v>103</v>
      </c>
      <c r="D48" s="55"/>
      <c r="E48" s="55"/>
      <c r="F48" s="55"/>
      <c r="G48" s="55"/>
      <c r="H48" s="55"/>
      <c r="I48" s="5"/>
      <c r="J48" s="6">
        <f>J49</f>
        <v>46225.91</v>
      </c>
    </row>
    <row r="49" spans="1:10">
      <c r="A49" s="56" t="s">
        <v>104</v>
      </c>
      <c r="B49" s="56"/>
      <c r="C49" s="57" t="s">
        <v>83</v>
      </c>
      <c r="D49" s="57"/>
      <c r="E49" s="57"/>
      <c r="F49" s="57"/>
      <c r="G49" s="57"/>
      <c r="H49" s="57"/>
      <c r="I49" s="7"/>
      <c r="J49" s="8">
        <f>SUM(J50:J54)</f>
        <v>46225.91</v>
      </c>
    </row>
    <row r="50" spans="1:10">
      <c r="A50" s="23" t="s">
        <v>105</v>
      </c>
      <c r="B50" s="23" t="s">
        <v>16</v>
      </c>
      <c r="C50" s="23">
        <v>96995</v>
      </c>
      <c r="D50" s="24" t="s">
        <v>110</v>
      </c>
      <c r="E50" s="23" t="s">
        <v>32</v>
      </c>
      <c r="F50" s="25">
        <v>97.77</v>
      </c>
      <c r="G50" s="26">
        <v>38.76</v>
      </c>
      <c r="H50" s="27">
        <v>0.2407</v>
      </c>
      <c r="I50" s="21">
        <f>G50*(1+H50)</f>
        <v>48.089531999999991</v>
      </c>
      <c r="J50" s="22">
        <v>4701.76</v>
      </c>
    </row>
    <row r="51" spans="1:10" ht="25.5">
      <c r="A51" s="23" t="s">
        <v>106</v>
      </c>
      <c r="B51" s="23" t="s">
        <v>16</v>
      </c>
      <c r="C51" s="23">
        <v>72961</v>
      </c>
      <c r="D51" s="24" t="s">
        <v>91</v>
      </c>
      <c r="E51" s="23" t="s">
        <v>19</v>
      </c>
      <c r="F51" s="25">
        <v>488.85</v>
      </c>
      <c r="G51" s="26">
        <v>1.22</v>
      </c>
      <c r="H51" s="27">
        <v>0.2407</v>
      </c>
      <c r="I51" s="21">
        <f>G51*(1+H51)</f>
        <v>1.5136539999999998</v>
      </c>
      <c r="J51" s="22">
        <v>738.16</v>
      </c>
    </row>
    <row r="52" spans="1:10" ht="51">
      <c r="A52" s="23" t="s">
        <v>107</v>
      </c>
      <c r="B52" s="23" t="s">
        <v>16</v>
      </c>
      <c r="C52" s="23">
        <v>94107</v>
      </c>
      <c r="D52" s="24" t="s">
        <v>67</v>
      </c>
      <c r="E52" s="23" t="s">
        <v>32</v>
      </c>
      <c r="F52" s="25">
        <v>19.55</v>
      </c>
      <c r="G52" s="26">
        <v>184.62</v>
      </c>
      <c r="H52" s="27">
        <v>0.2407</v>
      </c>
      <c r="I52" s="21">
        <f>G52*(1+H52)</f>
        <v>229.05803399999999</v>
      </c>
      <c r="J52" s="22">
        <v>4478.12</v>
      </c>
    </row>
    <row r="53" spans="1:10" ht="38.25">
      <c r="A53" s="23" t="s">
        <v>108</v>
      </c>
      <c r="B53" s="23" t="s">
        <v>74</v>
      </c>
      <c r="C53" s="23">
        <v>2</v>
      </c>
      <c r="D53" s="24" t="s">
        <v>111</v>
      </c>
      <c r="E53" s="23" t="s">
        <v>19</v>
      </c>
      <c r="F53" s="25">
        <v>97.77</v>
      </c>
      <c r="G53" s="26">
        <v>77.28</v>
      </c>
      <c r="H53" s="27">
        <v>0.2407</v>
      </c>
      <c r="I53" s="21">
        <f>G53*(1+H53)</f>
        <v>95.881295999999992</v>
      </c>
      <c r="J53" s="22">
        <v>9374.19</v>
      </c>
    </row>
    <row r="54" spans="1:10" ht="51">
      <c r="A54" s="23" t="s">
        <v>109</v>
      </c>
      <c r="B54" s="23" t="s">
        <v>16</v>
      </c>
      <c r="C54" s="23">
        <v>94995</v>
      </c>
      <c r="D54" s="24" t="s">
        <v>112</v>
      </c>
      <c r="E54" s="23" t="s">
        <v>19</v>
      </c>
      <c r="F54" s="25">
        <v>391.08</v>
      </c>
      <c r="G54" s="26">
        <v>55.51</v>
      </c>
      <c r="H54" s="27">
        <v>0.2407</v>
      </c>
      <c r="I54" s="21">
        <f>G54*(1+H54)</f>
        <v>68.871256999999986</v>
      </c>
      <c r="J54" s="22">
        <v>26933.68</v>
      </c>
    </row>
    <row r="55" spans="1:10">
      <c r="A55" s="54">
        <v>6</v>
      </c>
      <c r="B55" s="54"/>
      <c r="C55" s="55" t="s">
        <v>113</v>
      </c>
      <c r="D55" s="55"/>
      <c r="E55" s="55"/>
      <c r="F55" s="55"/>
      <c r="G55" s="55"/>
      <c r="H55" s="55"/>
      <c r="I55" s="5"/>
      <c r="J55" s="6">
        <f>J56+J58</f>
        <v>11491.69</v>
      </c>
    </row>
    <row r="56" spans="1:10">
      <c r="A56" s="56" t="s">
        <v>114</v>
      </c>
      <c r="B56" s="56"/>
      <c r="C56" s="57" t="s">
        <v>115</v>
      </c>
      <c r="D56" s="57"/>
      <c r="E56" s="57"/>
      <c r="F56" s="57"/>
      <c r="G56" s="57"/>
      <c r="H56" s="57"/>
      <c r="I56" s="7"/>
      <c r="J56" s="8">
        <f>J57</f>
        <v>387.29</v>
      </c>
    </row>
    <row r="57" spans="1:10" ht="25.5">
      <c r="A57" s="23" t="s">
        <v>116</v>
      </c>
      <c r="B57" s="23" t="s">
        <v>73</v>
      </c>
      <c r="C57" s="23">
        <v>5213356</v>
      </c>
      <c r="D57" s="24" t="s">
        <v>117</v>
      </c>
      <c r="E57" s="23" t="s">
        <v>19</v>
      </c>
      <c r="F57" s="25">
        <v>16.3</v>
      </c>
      <c r="G57" s="26">
        <v>19.149999999999999</v>
      </c>
      <c r="H57" s="27">
        <v>0.2407</v>
      </c>
      <c r="I57" s="21">
        <v>23.76</v>
      </c>
      <c r="J57" s="22">
        <v>387.29</v>
      </c>
    </row>
    <row r="58" spans="1:10">
      <c r="A58" s="56" t="s">
        <v>118</v>
      </c>
      <c r="B58" s="56"/>
      <c r="C58" s="57" t="s">
        <v>119</v>
      </c>
      <c r="D58" s="57"/>
      <c r="E58" s="57"/>
      <c r="F58" s="57"/>
      <c r="G58" s="57"/>
      <c r="H58" s="57"/>
      <c r="I58" s="7"/>
      <c r="J58" s="8">
        <f>J59+J60+J61</f>
        <v>11104.4</v>
      </c>
    </row>
    <row r="59" spans="1:10" ht="38.25">
      <c r="A59" s="23" t="s">
        <v>120</v>
      </c>
      <c r="B59" s="23" t="s">
        <v>73</v>
      </c>
      <c r="C59" s="23">
        <v>5213442</v>
      </c>
      <c r="D59" s="24" t="s">
        <v>123</v>
      </c>
      <c r="E59" s="23" t="s">
        <v>78</v>
      </c>
      <c r="F59" s="25">
        <v>1</v>
      </c>
      <c r="G59" s="26">
        <v>521.88</v>
      </c>
      <c r="H59" s="27">
        <v>0.2407</v>
      </c>
      <c r="I59" s="21">
        <v>647.5</v>
      </c>
      <c r="J59" s="22">
        <v>647.5</v>
      </c>
    </row>
    <row r="60" spans="1:10" ht="38.25">
      <c r="A60" s="23" t="s">
        <v>121</v>
      </c>
      <c r="B60" s="23" t="s">
        <v>73</v>
      </c>
      <c r="C60" s="23">
        <v>5213466</v>
      </c>
      <c r="D60" s="24" t="s">
        <v>124</v>
      </c>
      <c r="E60" s="23" t="s">
        <v>78</v>
      </c>
      <c r="F60" s="25">
        <v>1</v>
      </c>
      <c r="G60" s="26">
        <v>658.55</v>
      </c>
      <c r="H60" s="27">
        <v>0.2407</v>
      </c>
      <c r="I60" s="21">
        <v>817.06</v>
      </c>
      <c r="J60" s="22">
        <v>817.06</v>
      </c>
    </row>
    <row r="61" spans="1:10" ht="25.5">
      <c r="A61" s="23" t="s">
        <v>122</v>
      </c>
      <c r="B61" s="23" t="s">
        <v>73</v>
      </c>
      <c r="C61" s="23">
        <v>3713600</v>
      </c>
      <c r="D61" s="24" t="s">
        <v>125</v>
      </c>
      <c r="E61" s="23" t="s">
        <v>63</v>
      </c>
      <c r="F61" s="25">
        <v>24</v>
      </c>
      <c r="G61" s="26">
        <v>323.74</v>
      </c>
      <c r="H61" s="27">
        <v>0.2407</v>
      </c>
      <c r="I61" s="21">
        <v>401.66</v>
      </c>
      <c r="J61" s="22">
        <v>9639.84</v>
      </c>
    </row>
    <row r="62" spans="1:10">
      <c r="A62" s="58" t="s">
        <v>126</v>
      </c>
      <c r="B62" s="58"/>
      <c r="C62" s="58"/>
      <c r="D62" s="58"/>
      <c r="E62" s="58"/>
      <c r="F62" s="58"/>
      <c r="G62" s="58"/>
      <c r="H62" s="58"/>
      <c r="I62" s="58"/>
      <c r="J62" s="28">
        <f>J8+J15+J22+J36+J48+J55</f>
        <v>263673.06</v>
      </c>
    </row>
    <row r="66" spans="2:9">
      <c r="B66" s="60" t="s">
        <v>129</v>
      </c>
      <c r="C66" s="60"/>
      <c r="D66" s="60"/>
      <c r="G66" s="60" t="s">
        <v>129</v>
      </c>
      <c r="H66" s="60"/>
      <c r="I66" s="60"/>
    </row>
    <row r="67" spans="2:9">
      <c r="B67" s="60" t="s">
        <v>130</v>
      </c>
      <c r="C67" s="60"/>
      <c r="D67" s="60"/>
      <c r="G67" s="60" t="s">
        <v>133</v>
      </c>
      <c r="H67" s="60"/>
      <c r="I67" s="60"/>
    </row>
    <row r="68" spans="2:9">
      <c r="B68" s="63" t="s">
        <v>131</v>
      </c>
      <c r="C68" s="63"/>
      <c r="D68" s="63"/>
      <c r="G68" s="64" t="s">
        <v>134</v>
      </c>
      <c r="H68" s="63"/>
      <c r="I68" s="63"/>
    </row>
    <row r="69" spans="2:9">
      <c r="B69" s="63" t="s">
        <v>132</v>
      </c>
      <c r="C69" s="63"/>
      <c r="D69" s="63"/>
      <c r="G69" s="64" t="s">
        <v>135</v>
      </c>
      <c r="H69" s="63"/>
      <c r="I69" s="63"/>
    </row>
  </sheetData>
  <mergeCells count="49">
    <mergeCell ref="B67:D67"/>
    <mergeCell ref="B68:D68"/>
    <mergeCell ref="B69:D69"/>
    <mergeCell ref="G67:I67"/>
    <mergeCell ref="G68:I68"/>
    <mergeCell ref="G69:I69"/>
    <mergeCell ref="A62:I62"/>
    <mergeCell ref="C2:G2"/>
    <mergeCell ref="C3:G3"/>
    <mergeCell ref="B66:D66"/>
    <mergeCell ref="G66:I66"/>
    <mergeCell ref="A55:B55"/>
    <mergeCell ref="C55:H55"/>
    <mergeCell ref="A56:B56"/>
    <mergeCell ref="C56:H56"/>
    <mergeCell ref="A58:B58"/>
    <mergeCell ref="C58:H58"/>
    <mergeCell ref="A2:B2"/>
    <mergeCell ref="A3:B3"/>
    <mergeCell ref="A4:B4"/>
    <mergeCell ref="A5:J5"/>
    <mergeCell ref="A8:B8"/>
    <mergeCell ref="C8:H8"/>
    <mergeCell ref="A9:B9"/>
    <mergeCell ref="C9:H9"/>
    <mergeCell ref="A11:B11"/>
    <mergeCell ref="C11:H11"/>
    <mergeCell ref="A15:B15"/>
    <mergeCell ref="C15:H15"/>
    <mergeCell ref="A16:B16"/>
    <mergeCell ref="C16:H16"/>
    <mergeCell ref="A22:B22"/>
    <mergeCell ref="C22:H22"/>
    <mergeCell ref="A23:B23"/>
    <mergeCell ref="C23:H23"/>
    <mergeCell ref="A26:B26"/>
    <mergeCell ref="C26:H26"/>
    <mergeCell ref="A32:B32"/>
    <mergeCell ref="C32:H32"/>
    <mergeCell ref="A36:B36"/>
    <mergeCell ref="C36:H36"/>
    <mergeCell ref="A49:B49"/>
    <mergeCell ref="C49:H49"/>
    <mergeCell ref="A37:B37"/>
    <mergeCell ref="C37:H37"/>
    <mergeCell ref="A45:B45"/>
    <mergeCell ref="C45:H45"/>
    <mergeCell ref="A48:B48"/>
    <mergeCell ref="C48:H48"/>
  </mergeCells>
  <pageMargins left="0.511811024" right="0.511811024" top="1.1979166666666667" bottom="0.78740157499999996" header="0.31496062000000002" footer="0.31496062000000002"/>
  <pageSetup paperSize="9" orientation="landscape" r:id="rId1"/>
  <headerFooter>
    <oddHeader>&amp;L&amp;G&amp;R&amp;"-,Negrito"
GOVERNO DO ESTADO DE SANTA CATARINA
MUNICIPIO DE PAULO LOPES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8"/>
  <sheetViews>
    <sheetView tabSelected="1" topLeftCell="J1" zoomScale="70" zoomScaleNormal="70" workbookViewId="0">
      <selection activeCell="X32" sqref="X32"/>
    </sheetView>
  </sheetViews>
  <sheetFormatPr defaultRowHeight="12.75"/>
  <cols>
    <col min="1" max="1" width="5.28515625" style="35" bestFit="1" customWidth="1"/>
    <col min="2" max="2" width="22.85546875" style="35" bestFit="1" customWidth="1"/>
    <col min="3" max="3" width="18.28515625" style="38" bestFit="1" customWidth="1"/>
    <col min="4" max="4" width="7.7109375" style="35" bestFit="1" customWidth="1"/>
    <col min="5" max="5" width="10.28515625" style="38" bestFit="1" customWidth="1"/>
    <col min="6" max="6" width="7.85546875" style="35" bestFit="1" customWidth="1"/>
    <col min="7" max="7" width="14.85546875" style="35" bestFit="1" customWidth="1"/>
    <col min="8" max="8" width="7.28515625" style="35" bestFit="1" customWidth="1"/>
    <col min="9" max="9" width="16.7109375" style="35" bestFit="1" customWidth="1"/>
    <col min="10" max="10" width="7.5703125" style="35" bestFit="1" customWidth="1"/>
    <col min="11" max="11" width="17.140625" style="35" bestFit="1" customWidth="1"/>
    <col min="12" max="12" width="8.5703125" style="35" bestFit="1" customWidth="1"/>
    <col min="13" max="13" width="16.7109375" style="35" bestFit="1" customWidth="1"/>
    <col min="14" max="14" width="8.5703125" style="35" bestFit="1" customWidth="1"/>
    <col min="15" max="15" width="17.140625" style="35" bestFit="1" customWidth="1"/>
    <col min="16" max="16" width="8.5703125" style="35" bestFit="1" customWidth="1"/>
    <col min="17" max="17" width="16.7109375" style="35" bestFit="1" customWidth="1"/>
    <col min="18" max="18" width="8.85546875" style="35" bestFit="1" customWidth="1"/>
    <col min="19" max="19" width="17.42578125" style="35" bestFit="1" customWidth="1"/>
    <col min="20" max="20" width="8.85546875" style="35" bestFit="1" customWidth="1"/>
    <col min="21" max="21" width="17.85546875" style="35" bestFit="1" customWidth="1"/>
    <col min="22" max="22" width="8.85546875" style="35" bestFit="1" customWidth="1"/>
    <col min="23" max="23" width="18.28515625" style="35" bestFit="1" customWidth="1"/>
    <col min="24" max="24" width="8.85546875" style="35" bestFit="1" customWidth="1"/>
    <col min="25" max="25" width="17.42578125" style="35" bestFit="1" customWidth="1"/>
    <col min="26" max="26" width="9.7109375" style="35" bestFit="1" customWidth="1"/>
    <col min="27" max="27" width="18.28515625" style="35" bestFit="1" customWidth="1"/>
    <col min="28" max="28" width="9.140625" style="35"/>
    <col min="29" max="29" width="18.28515625" style="35" bestFit="1" customWidth="1"/>
    <col min="30" max="16384" width="9.140625" style="35"/>
  </cols>
  <sheetData>
    <row r="1" spans="1:29" s="33" customFormat="1">
      <c r="A1" s="71" t="s">
        <v>0</v>
      </c>
      <c r="B1" s="71" t="s">
        <v>3</v>
      </c>
      <c r="C1" s="67" t="s">
        <v>136</v>
      </c>
      <c r="D1" s="65" t="s">
        <v>137</v>
      </c>
      <c r="E1" s="65"/>
      <c r="F1" s="65" t="s">
        <v>138</v>
      </c>
      <c r="G1" s="65"/>
      <c r="H1" s="65" t="s">
        <v>139</v>
      </c>
      <c r="I1" s="65"/>
      <c r="J1" s="65" t="s">
        <v>140</v>
      </c>
      <c r="K1" s="65"/>
      <c r="L1" s="65" t="s">
        <v>141</v>
      </c>
      <c r="M1" s="65"/>
      <c r="N1" s="65" t="s">
        <v>142</v>
      </c>
      <c r="O1" s="65"/>
      <c r="P1" s="65" t="s">
        <v>143</v>
      </c>
      <c r="Q1" s="65"/>
      <c r="R1" s="65" t="s">
        <v>144</v>
      </c>
      <c r="S1" s="65"/>
      <c r="T1" s="65" t="s">
        <v>145</v>
      </c>
      <c r="U1" s="65"/>
      <c r="V1" s="65" t="s">
        <v>146</v>
      </c>
      <c r="W1" s="65"/>
      <c r="X1" s="65" t="s">
        <v>147</v>
      </c>
      <c r="Y1" s="65"/>
      <c r="Z1" s="65" t="s">
        <v>148</v>
      </c>
      <c r="AA1" s="65"/>
      <c r="AB1" s="65" t="s">
        <v>126</v>
      </c>
      <c r="AC1" s="65"/>
    </row>
    <row r="2" spans="1:29" s="33" customFormat="1">
      <c r="A2" s="71"/>
      <c r="B2" s="71"/>
      <c r="C2" s="67"/>
      <c r="D2" s="33" t="s">
        <v>149</v>
      </c>
      <c r="E2" s="39" t="s">
        <v>150</v>
      </c>
      <c r="F2" s="33" t="s">
        <v>149</v>
      </c>
      <c r="G2" s="33" t="s">
        <v>150</v>
      </c>
      <c r="H2" s="33" t="s">
        <v>149</v>
      </c>
      <c r="I2" s="33" t="s">
        <v>150</v>
      </c>
      <c r="J2" s="33" t="s">
        <v>149</v>
      </c>
      <c r="K2" s="33" t="s">
        <v>150</v>
      </c>
      <c r="L2" s="33" t="s">
        <v>149</v>
      </c>
      <c r="M2" s="33" t="s">
        <v>150</v>
      </c>
      <c r="N2" s="33" t="s">
        <v>149</v>
      </c>
      <c r="O2" s="33" t="s">
        <v>150</v>
      </c>
      <c r="P2" s="33" t="s">
        <v>149</v>
      </c>
      <c r="Q2" s="33" t="s">
        <v>150</v>
      </c>
      <c r="R2" s="33" t="s">
        <v>149</v>
      </c>
      <c r="S2" s="33" t="s">
        <v>150</v>
      </c>
      <c r="T2" s="33" t="s">
        <v>149</v>
      </c>
      <c r="U2" s="33" t="s">
        <v>150</v>
      </c>
      <c r="V2" s="33" t="s">
        <v>149</v>
      </c>
      <c r="W2" s="33" t="s">
        <v>150</v>
      </c>
      <c r="X2" s="33" t="s">
        <v>149</v>
      </c>
      <c r="Y2" s="33" t="s">
        <v>150</v>
      </c>
      <c r="Z2" s="33" t="s">
        <v>149</v>
      </c>
      <c r="AA2" s="33" t="s">
        <v>150</v>
      </c>
      <c r="AB2" s="33" t="s">
        <v>149</v>
      </c>
      <c r="AC2" s="33" t="s">
        <v>150</v>
      </c>
    </row>
    <row r="3" spans="1:29">
      <c r="A3" s="34">
        <v>1</v>
      </c>
      <c r="B3" s="31" t="s">
        <v>151</v>
      </c>
      <c r="C3" s="37">
        <v>1816.87</v>
      </c>
      <c r="D3" s="40"/>
      <c r="E3" s="37"/>
      <c r="F3" s="40">
        <f>G3/C3</f>
        <v>1</v>
      </c>
      <c r="G3" s="41">
        <f>G5+G4</f>
        <v>1816.87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40">
        <f t="shared" ref="AB3:AB20" si="0">AC3/C3</f>
        <v>1</v>
      </c>
      <c r="AC3" s="41">
        <f>E3+G3+I3+K3+M3+O3+Q3+S3+U3+W3+Y3+AA3</f>
        <v>1816.87</v>
      </c>
    </row>
    <row r="4" spans="1:29">
      <c r="A4" s="35" t="s">
        <v>12</v>
      </c>
      <c r="B4" s="32" t="s">
        <v>152</v>
      </c>
      <c r="C4" s="38">
        <v>995.08</v>
      </c>
      <c r="D4" s="36"/>
      <c r="F4" s="36">
        <v>1</v>
      </c>
      <c r="G4" s="38">
        <v>995.08</v>
      </c>
      <c r="AB4" s="36">
        <f t="shared" si="0"/>
        <v>1</v>
      </c>
      <c r="AC4" s="42">
        <f t="shared" ref="AC4:AC20" si="1">E4+G4+I4+K4+M4+O4+Q4+S4+U4+W4+Y4+AA4</f>
        <v>995.08</v>
      </c>
    </row>
    <row r="5" spans="1:29">
      <c r="A5" s="35" t="s">
        <v>23</v>
      </c>
      <c r="B5" s="32" t="s">
        <v>153</v>
      </c>
      <c r="C5" s="38">
        <v>821.79</v>
      </c>
      <c r="F5" s="36">
        <v>1</v>
      </c>
      <c r="G5" s="38">
        <v>821.79</v>
      </c>
      <c r="AB5" s="36">
        <f t="shared" si="0"/>
        <v>1</v>
      </c>
      <c r="AC5" s="42">
        <f t="shared" si="1"/>
        <v>821.79</v>
      </c>
    </row>
    <row r="6" spans="1:29">
      <c r="A6" s="34">
        <v>2</v>
      </c>
      <c r="B6" s="31" t="s">
        <v>154</v>
      </c>
      <c r="C6" s="37">
        <v>39089.410000000003</v>
      </c>
      <c r="D6" s="34"/>
      <c r="E6" s="37"/>
      <c r="F6" s="34"/>
      <c r="G6" s="34"/>
      <c r="H6" s="40">
        <f>I6/C6</f>
        <v>0.4</v>
      </c>
      <c r="I6" s="41">
        <f>I7</f>
        <v>15635.764000000003</v>
      </c>
      <c r="J6" s="40">
        <f>K6/C6</f>
        <v>0.3</v>
      </c>
      <c r="K6" s="41">
        <f>K7</f>
        <v>11726.823</v>
      </c>
      <c r="L6" s="40">
        <f>M6/C6</f>
        <v>0.3</v>
      </c>
      <c r="M6" s="41">
        <f>M7</f>
        <v>11726.823</v>
      </c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40">
        <f t="shared" si="0"/>
        <v>1</v>
      </c>
      <c r="AC6" s="41">
        <f t="shared" si="1"/>
        <v>39089.410000000003</v>
      </c>
    </row>
    <row r="7" spans="1:29">
      <c r="A7" s="35" t="s">
        <v>34</v>
      </c>
      <c r="B7" s="32" t="s">
        <v>35</v>
      </c>
      <c r="C7" s="38">
        <v>39089.410000000003</v>
      </c>
      <c r="H7" s="36">
        <v>0.4</v>
      </c>
      <c r="I7" s="42">
        <f>0.4*C7</f>
        <v>15635.764000000003</v>
      </c>
      <c r="J7" s="36">
        <v>0.3</v>
      </c>
      <c r="K7" s="42">
        <f>0.3*C7</f>
        <v>11726.823</v>
      </c>
      <c r="L7" s="36">
        <v>0.3</v>
      </c>
      <c r="M7" s="42">
        <f>0.3*C7</f>
        <v>11726.823</v>
      </c>
      <c r="AB7" s="36">
        <f t="shared" si="0"/>
        <v>1</v>
      </c>
      <c r="AC7" s="42">
        <f t="shared" si="1"/>
        <v>39089.410000000003</v>
      </c>
    </row>
    <row r="8" spans="1:29">
      <c r="A8" s="34">
        <v>3</v>
      </c>
      <c r="B8" s="31" t="s">
        <v>155</v>
      </c>
      <c r="C8" s="37">
        <v>51129.2</v>
      </c>
      <c r="D8" s="34"/>
      <c r="E8" s="37"/>
      <c r="F8" s="34"/>
      <c r="G8" s="34"/>
      <c r="H8" s="34"/>
      <c r="I8" s="34"/>
      <c r="J8" s="40">
        <f>K8/C8</f>
        <v>1.2106858703050314E-2</v>
      </c>
      <c r="K8" s="41">
        <f>K9+K10+K11</f>
        <v>619.01400000000012</v>
      </c>
      <c r="L8" s="40">
        <f>M8/C8</f>
        <v>0.10768684039648577</v>
      </c>
      <c r="M8" s="41">
        <f>M9+M10+M11</f>
        <v>5505.942</v>
      </c>
      <c r="N8" s="40">
        <f>O8/C8</f>
        <v>0.2</v>
      </c>
      <c r="O8" s="41">
        <v>10225.84</v>
      </c>
      <c r="P8" s="40">
        <f>Q8/C8</f>
        <v>0.2</v>
      </c>
      <c r="Q8" s="41">
        <v>10225.84</v>
      </c>
      <c r="R8" s="40">
        <f>S8/C8</f>
        <v>0.2</v>
      </c>
      <c r="S8" s="41">
        <v>10225.84</v>
      </c>
      <c r="T8" s="40">
        <f>U8/C8</f>
        <v>0.18789302394717697</v>
      </c>
      <c r="U8" s="41">
        <f>U9+U10+U11</f>
        <v>9606.82</v>
      </c>
      <c r="V8" s="40">
        <f>W8/C8</f>
        <v>9.2313003137150601E-2</v>
      </c>
      <c r="W8" s="41">
        <f>W9+W10+W11</f>
        <v>4719.8900000000003</v>
      </c>
      <c r="X8" s="34"/>
      <c r="Y8" s="34"/>
      <c r="Z8" s="34"/>
      <c r="AA8" s="34"/>
      <c r="AB8" s="40">
        <f t="shared" si="0"/>
        <v>0.99999972618386357</v>
      </c>
      <c r="AC8" s="41">
        <f t="shared" si="1"/>
        <v>51129.185999999994</v>
      </c>
    </row>
    <row r="9" spans="1:29">
      <c r="A9" s="35" t="s">
        <v>50</v>
      </c>
      <c r="B9" s="32" t="s">
        <v>35</v>
      </c>
      <c r="C9" s="38">
        <v>3095.07</v>
      </c>
      <c r="J9" s="36">
        <v>0.2</v>
      </c>
      <c r="K9" s="42">
        <f>0.2*C9</f>
        <v>619.01400000000012</v>
      </c>
      <c r="L9" s="36">
        <v>0.2</v>
      </c>
      <c r="M9" s="38">
        <v>619.01</v>
      </c>
      <c r="N9" s="36">
        <v>0.2</v>
      </c>
      <c r="O9" s="38">
        <v>619.01</v>
      </c>
      <c r="P9" s="36">
        <v>0.2</v>
      </c>
      <c r="Q9" s="38">
        <v>619.01</v>
      </c>
      <c r="R9" s="36">
        <v>0.2</v>
      </c>
      <c r="S9" s="38">
        <v>619.01</v>
      </c>
      <c r="U9" s="38"/>
      <c r="AB9" s="36">
        <f t="shared" si="0"/>
        <v>0.99999483048848647</v>
      </c>
      <c r="AC9" s="42">
        <f t="shared" si="1"/>
        <v>3095.0540000000001</v>
      </c>
    </row>
    <row r="10" spans="1:29">
      <c r="A10" s="35" t="s">
        <v>55</v>
      </c>
      <c r="B10" s="32" t="s">
        <v>56</v>
      </c>
      <c r="C10" s="38">
        <v>23599.47</v>
      </c>
      <c r="N10" s="36">
        <v>0.2</v>
      </c>
      <c r="O10" s="38">
        <f>0.2*C10</f>
        <v>4719.8940000000002</v>
      </c>
      <c r="P10" s="36">
        <v>0.2</v>
      </c>
      <c r="Q10" s="38">
        <v>4719.8900000000003</v>
      </c>
      <c r="R10" s="36">
        <v>0.2</v>
      </c>
      <c r="S10" s="38">
        <v>4719.8900000000003</v>
      </c>
      <c r="T10" s="36">
        <v>0.2</v>
      </c>
      <c r="U10" s="38">
        <v>4719.8900000000003</v>
      </c>
      <c r="V10" s="36">
        <v>0.2</v>
      </c>
      <c r="W10" s="38">
        <v>4719.8900000000003</v>
      </c>
      <c r="AB10" s="36">
        <f t="shared" si="0"/>
        <v>0.99999932201867237</v>
      </c>
      <c r="AC10" s="42">
        <f t="shared" si="1"/>
        <v>23599.453999999998</v>
      </c>
    </row>
    <row r="11" spans="1:29">
      <c r="A11" s="35" t="s">
        <v>68</v>
      </c>
      <c r="B11" s="32" t="s">
        <v>69</v>
      </c>
      <c r="C11" s="38">
        <v>24434.66</v>
      </c>
      <c r="L11" s="36">
        <v>0.2</v>
      </c>
      <c r="M11" s="42">
        <f>0.2*C11</f>
        <v>4886.9319999999998</v>
      </c>
      <c r="N11" s="36">
        <v>0.2</v>
      </c>
      <c r="O11" s="38">
        <v>4886.93</v>
      </c>
      <c r="P11" s="36">
        <v>0.2</v>
      </c>
      <c r="Q11" s="38">
        <v>4886.93</v>
      </c>
      <c r="R11" s="36">
        <v>0.2</v>
      </c>
      <c r="S11" s="38">
        <v>4886.93</v>
      </c>
      <c r="T11" s="36">
        <v>0.2</v>
      </c>
      <c r="U11" s="38">
        <v>4886.93</v>
      </c>
      <c r="V11" s="36"/>
      <c r="AB11" s="36">
        <f t="shared" si="0"/>
        <v>0.99999967259622202</v>
      </c>
      <c r="AC11" s="42">
        <f t="shared" si="1"/>
        <v>24434.652000000002</v>
      </c>
    </row>
    <row r="12" spans="1:29">
      <c r="A12" s="34">
        <v>4</v>
      </c>
      <c r="B12" s="31" t="s">
        <v>99</v>
      </c>
      <c r="C12" s="37">
        <v>113919.98</v>
      </c>
      <c r="D12" s="34"/>
      <c r="E12" s="37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40">
        <f>Q12/C12</f>
        <v>0.42589779246801129</v>
      </c>
      <c r="Q12" s="41">
        <f>Q13+Q14</f>
        <v>48518.267999999996</v>
      </c>
      <c r="R12" s="40">
        <f>S12/C12</f>
        <v>0.57410220753198871</v>
      </c>
      <c r="S12" s="41">
        <f>S13+S14</f>
        <v>65401.712</v>
      </c>
      <c r="T12" s="40"/>
      <c r="U12" s="41"/>
      <c r="V12" s="34"/>
      <c r="W12" s="34"/>
      <c r="X12" s="34"/>
      <c r="Y12" s="34"/>
      <c r="Z12" s="34"/>
      <c r="AA12" s="34"/>
      <c r="AB12" s="40">
        <f t="shared" si="0"/>
        <v>1</v>
      </c>
      <c r="AC12" s="41">
        <f t="shared" si="1"/>
        <v>113919.98</v>
      </c>
    </row>
    <row r="13" spans="1:29">
      <c r="A13" s="35" t="s">
        <v>82</v>
      </c>
      <c r="B13" s="32" t="s">
        <v>156</v>
      </c>
      <c r="C13" s="38">
        <v>64335.68</v>
      </c>
      <c r="P13" s="36">
        <v>0.6</v>
      </c>
      <c r="Q13" s="42">
        <f>0.6*C13</f>
        <v>38601.407999999996</v>
      </c>
      <c r="R13" s="36">
        <v>0.4</v>
      </c>
      <c r="S13" s="42">
        <f>0.4*C13</f>
        <v>25734.272000000001</v>
      </c>
      <c r="T13" s="36"/>
      <c r="U13" s="42"/>
      <c r="AB13" s="36">
        <f t="shared" si="0"/>
        <v>0.99999999999999989</v>
      </c>
      <c r="AC13" s="42">
        <f t="shared" si="1"/>
        <v>64335.679999999993</v>
      </c>
    </row>
    <row r="14" spans="1:29">
      <c r="A14" s="35" t="s">
        <v>98</v>
      </c>
      <c r="B14" s="32" t="s">
        <v>99</v>
      </c>
      <c r="C14" s="38">
        <v>49584.3</v>
      </c>
      <c r="P14" s="36">
        <v>0.2</v>
      </c>
      <c r="Q14" s="42">
        <f>0.2*C14</f>
        <v>9916.86</v>
      </c>
      <c r="R14" s="36">
        <v>0.8</v>
      </c>
      <c r="S14" s="42">
        <f>0.8*C14</f>
        <v>39667.440000000002</v>
      </c>
      <c r="T14" s="36"/>
      <c r="U14" s="42"/>
      <c r="AB14" s="36">
        <f t="shared" si="0"/>
        <v>1</v>
      </c>
      <c r="AC14" s="42">
        <f t="shared" si="1"/>
        <v>49584.3</v>
      </c>
    </row>
    <row r="15" spans="1:29">
      <c r="A15" s="34">
        <v>5</v>
      </c>
      <c r="B15" s="31" t="s">
        <v>157</v>
      </c>
      <c r="C15" s="37">
        <v>46225.91</v>
      </c>
      <c r="D15" s="34"/>
      <c r="E15" s="37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40">
        <f>U15/C15</f>
        <v>0.1</v>
      </c>
      <c r="U15" s="41">
        <f>U16</f>
        <v>4622.5910000000003</v>
      </c>
      <c r="V15" s="40">
        <f>W15/C15</f>
        <v>0.4</v>
      </c>
      <c r="W15" s="41">
        <f>W16</f>
        <v>18490.364000000001</v>
      </c>
      <c r="X15" s="40">
        <f>Y15/C15</f>
        <v>0.5</v>
      </c>
      <c r="Y15" s="41">
        <f>Y16</f>
        <v>23112.955000000002</v>
      </c>
      <c r="Z15" s="34"/>
      <c r="AA15" s="34"/>
      <c r="AB15" s="40">
        <f t="shared" si="0"/>
        <v>1</v>
      </c>
      <c r="AC15" s="41">
        <f t="shared" si="1"/>
        <v>46225.91</v>
      </c>
    </row>
    <row r="16" spans="1:29">
      <c r="A16" s="35" t="s">
        <v>104</v>
      </c>
      <c r="B16" s="32" t="s">
        <v>156</v>
      </c>
      <c r="C16" s="38">
        <v>46225.91</v>
      </c>
      <c r="T16" s="36">
        <v>0.1</v>
      </c>
      <c r="U16" s="42">
        <f>0.1*C16</f>
        <v>4622.5910000000003</v>
      </c>
      <c r="V16" s="36">
        <v>0.4</v>
      </c>
      <c r="W16" s="42">
        <f>0.4*C16</f>
        <v>18490.364000000001</v>
      </c>
      <c r="X16" s="36">
        <v>0.5</v>
      </c>
      <c r="Y16" s="42">
        <f>0.5*C16</f>
        <v>23112.955000000002</v>
      </c>
      <c r="AB16" s="36">
        <f t="shared" si="0"/>
        <v>1</v>
      </c>
      <c r="AC16" s="42">
        <f t="shared" si="1"/>
        <v>46225.91</v>
      </c>
    </row>
    <row r="17" spans="1:29">
      <c r="A17" s="34">
        <v>6</v>
      </c>
      <c r="B17" s="31" t="s">
        <v>158</v>
      </c>
      <c r="C17" s="37">
        <v>11491.69</v>
      </c>
      <c r="D17" s="34"/>
      <c r="E17" s="37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40">
        <f>AA17/C17</f>
        <v>1</v>
      </c>
      <c r="AA17" s="41">
        <f>AA18+AA19</f>
        <v>11491.69</v>
      </c>
      <c r="AB17" s="40">
        <f t="shared" si="0"/>
        <v>1</v>
      </c>
      <c r="AC17" s="41">
        <f t="shared" si="1"/>
        <v>11491.69</v>
      </c>
    </row>
    <row r="18" spans="1:29">
      <c r="A18" s="35" t="s">
        <v>114</v>
      </c>
      <c r="B18" s="32" t="s">
        <v>159</v>
      </c>
      <c r="C18" s="38">
        <v>387.29</v>
      </c>
      <c r="Z18" s="36">
        <v>1</v>
      </c>
      <c r="AA18" s="42">
        <f>Z18*C18</f>
        <v>387.29</v>
      </c>
      <c r="AB18" s="36">
        <f t="shared" si="0"/>
        <v>1</v>
      </c>
      <c r="AC18" s="42">
        <f t="shared" si="1"/>
        <v>387.29</v>
      </c>
    </row>
    <row r="19" spans="1:29">
      <c r="A19" s="35" t="s">
        <v>118</v>
      </c>
      <c r="B19" s="32" t="s">
        <v>160</v>
      </c>
      <c r="C19" s="38">
        <v>11104.4</v>
      </c>
      <c r="Z19" s="36">
        <v>1</v>
      </c>
      <c r="AA19" s="42">
        <f>Z19*C19</f>
        <v>11104.4</v>
      </c>
      <c r="AB19" s="36">
        <f t="shared" si="0"/>
        <v>1</v>
      </c>
      <c r="AC19" s="42">
        <f t="shared" si="1"/>
        <v>11104.4</v>
      </c>
    </row>
    <row r="20" spans="1:29" s="33" customFormat="1">
      <c r="A20" s="66" t="s">
        <v>126</v>
      </c>
      <c r="B20" s="66"/>
      <c r="C20" s="67">
        <f>C3+C6+C8+C12+C15+C17</f>
        <v>263673.06</v>
      </c>
      <c r="D20" s="70">
        <f>E20/C20</f>
        <v>0</v>
      </c>
      <c r="E20" s="39">
        <f>E3</f>
        <v>0</v>
      </c>
      <c r="F20" s="44">
        <f>G20/$C20</f>
        <v>6.8906167357408446E-3</v>
      </c>
      <c r="G20" s="43">
        <f>G3</f>
        <v>1816.87</v>
      </c>
      <c r="H20" s="44">
        <f>I20/$C20</f>
        <v>5.9299816219374107E-2</v>
      </c>
      <c r="I20" s="43">
        <f>I6</f>
        <v>15635.764000000003</v>
      </c>
      <c r="J20" s="44">
        <f>K20/$C20</f>
        <v>4.6822519524747808E-2</v>
      </c>
      <c r="K20" s="43">
        <f>K6+K8</f>
        <v>12345.837</v>
      </c>
      <c r="L20" s="44">
        <f>M20/$C20</f>
        <v>6.535656316197036E-2</v>
      </c>
      <c r="M20" s="43">
        <f>M6+M8</f>
        <v>17232.764999999999</v>
      </c>
      <c r="N20" s="44">
        <f>O20/$C20</f>
        <v>3.8782270740894048E-2</v>
      </c>
      <c r="O20" s="43">
        <v>10225.84</v>
      </c>
      <c r="P20" s="44">
        <f>Q20/$C20</f>
        <v>0.22279146758489468</v>
      </c>
      <c r="Q20" s="43">
        <f>Q8+Q12</f>
        <v>58744.107999999993</v>
      </c>
      <c r="R20" s="44">
        <f>S20/$C20</f>
        <v>0.28682320446389176</v>
      </c>
      <c r="S20" s="43">
        <f>S8+S12</f>
        <v>75627.551999999996</v>
      </c>
      <c r="T20" s="44">
        <f>U20/$C20</f>
        <v>5.3966150353016724E-2</v>
      </c>
      <c r="U20" s="43">
        <v>14229.42</v>
      </c>
      <c r="V20" s="44">
        <f>W20/$C20</f>
        <v>8.8026664536756227E-2</v>
      </c>
      <c r="W20" s="43">
        <v>23210.26</v>
      </c>
      <c r="X20" s="44">
        <f>Y20/$C20</f>
        <v>8.7657609010188611E-2</v>
      </c>
      <c r="Y20" s="43">
        <v>23112.95</v>
      </c>
      <c r="Z20" s="44">
        <f>AA20/$C20</f>
        <v>4.3583102498222615E-2</v>
      </c>
      <c r="AA20" s="43">
        <f>AA17</f>
        <v>11491.69</v>
      </c>
      <c r="AB20" s="69">
        <f t="shared" si="0"/>
        <v>0.99999998482969776</v>
      </c>
      <c r="AC20" s="68">
        <f t="shared" si="1"/>
        <v>263673.05599999998</v>
      </c>
    </row>
    <row r="21" spans="1:29" s="33" customFormat="1">
      <c r="A21" s="66" t="s">
        <v>161</v>
      </c>
      <c r="B21" s="66"/>
      <c r="C21" s="67"/>
      <c r="D21" s="70"/>
      <c r="E21" s="39">
        <f>E20</f>
        <v>0</v>
      </c>
      <c r="F21" s="44">
        <f>G21/$C20</f>
        <v>6.8906167357408446E-3</v>
      </c>
      <c r="G21" s="43">
        <f>G20+E21</f>
        <v>1816.87</v>
      </c>
      <c r="H21" s="44">
        <f>I21/$C20</f>
        <v>6.6190432955114953E-2</v>
      </c>
      <c r="I21" s="43">
        <f>I20+G21</f>
        <v>17452.634000000002</v>
      </c>
      <c r="J21" s="44">
        <f>K21/$C20</f>
        <v>0.11301295247986276</v>
      </c>
      <c r="K21" s="43">
        <f>K20+I21</f>
        <v>29798.471000000001</v>
      </c>
      <c r="L21" s="44">
        <f>M21/$C20</f>
        <v>0.17836951564183312</v>
      </c>
      <c r="M21" s="43">
        <f>M20+K21</f>
        <v>47031.236000000004</v>
      </c>
      <c r="N21" s="44">
        <f>O21/$C20</f>
        <v>0.21715178638272717</v>
      </c>
      <c r="O21" s="43">
        <f>O20+M21</f>
        <v>57257.076000000001</v>
      </c>
      <c r="P21" s="44">
        <f>Q21/$C20</f>
        <v>0.43994325396762185</v>
      </c>
      <c r="Q21" s="43">
        <f>Q20+O21</f>
        <v>116001.18399999999</v>
      </c>
      <c r="R21" s="44">
        <f>S21/$C20</f>
        <v>0.72676645843151355</v>
      </c>
      <c r="S21" s="43">
        <f>S20+Q21</f>
        <v>191628.73599999998</v>
      </c>
      <c r="T21" s="44">
        <f>U21/$C20</f>
        <v>0.78073260878453032</v>
      </c>
      <c r="U21" s="43">
        <f>U20+S21</f>
        <v>205858.15599999999</v>
      </c>
      <c r="V21" s="44">
        <f>W21/$C20</f>
        <v>0.86875927332128655</v>
      </c>
      <c r="W21" s="43">
        <f>W20+U21</f>
        <v>229068.416</v>
      </c>
      <c r="X21" s="44">
        <f>Y21/$C20</f>
        <v>0.95641688233147526</v>
      </c>
      <c r="Y21" s="43">
        <f>Y20+W21</f>
        <v>252181.36600000001</v>
      </c>
      <c r="Z21" s="44">
        <f>AA21/$C20</f>
        <v>0.99999998482969776</v>
      </c>
      <c r="AA21" s="43">
        <f>AA20+Y21</f>
        <v>263673.05599999998</v>
      </c>
      <c r="AB21" s="69"/>
      <c r="AC21" s="68"/>
    </row>
    <row r="25" spans="1:29" ht="15">
      <c r="D25" s="64" t="s">
        <v>191</v>
      </c>
      <c r="E25" s="64"/>
      <c r="F25" s="64"/>
      <c r="G25" s="64"/>
      <c r="H25" s="64"/>
      <c r="I25" s="64"/>
      <c r="J25" s="64"/>
      <c r="P25" s="60" t="s">
        <v>129</v>
      </c>
      <c r="Q25" s="60"/>
      <c r="R25" s="60"/>
      <c r="S25" s="60"/>
      <c r="T25" s="60"/>
      <c r="U25" s="60"/>
    </row>
    <row r="26" spans="1:29" ht="15">
      <c r="D26" s="60" t="s">
        <v>130</v>
      </c>
      <c r="E26" s="60"/>
      <c r="F26" s="60"/>
      <c r="G26" s="60"/>
      <c r="H26" s="60"/>
      <c r="I26" s="60"/>
      <c r="J26" s="60"/>
      <c r="P26" s="60" t="s">
        <v>133</v>
      </c>
      <c r="Q26" s="60"/>
      <c r="R26" s="60"/>
      <c r="S26" s="60"/>
      <c r="T26" s="60"/>
      <c r="U26" s="60"/>
    </row>
    <row r="27" spans="1:29" ht="15">
      <c r="D27" s="64" t="s">
        <v>131</v>
      </c>
      <c r="E27" s="64"/>
      <c r="F27" s="64"/>
      <c r="G27" s="64"/>
      <c r="H27" s="64"/>
      <c r="I27" s="64"/>
      <c r="J27" s="64"/>
      <c r="P27" s="64" t="s">
        <v>134</v>
      </c>
      <c r="Q27" s="64"/>
      <c r="R27" s="64"/>
      <c r="S27" s="64"/>
      <c r="T27" s="64"/>
      <c r="U27" s="64"/>
    </row>
    <row r="28" spans="1:29" ht="15">
      <c r="D28" s="64" t="s">
        <v>192</v>
      </c>
      <c r="E28" s="64"/>
      <c r="F28" s="64"/>
      <c r="G28" s="64"/>
      <c r="H28" s="64"/>
      <c r="I28" s="64"/>
      <c r="J28" s="64"/>
      <c r="P28" s="64" t="s">
        <v>135</v>
      </c>
      <c r="Q28" s="64"/>
      <c r="R28" s="64"/>
      <c r="S28" s="64"/>
      <c r="T28" s="64"/>
      <c r="U28" s="64"/>
    </row>
  </sheetData>
  <mergeCells count="30">
    <mergeCell ref="R1:S1"/>
    <mergeCell ref="N1:O1"/>
    <mergeCell ref="A1:A2"/>
    <mergeCell ref="B1:B2"/>
    <mergeCell ref="C1:C2"/>
    <mergeCell ref="P1:Q1"/>
    <mergeCell ref="AB1:AC1"/>
    <mergeCell ref="A20:B20"/>
    <mergeCell ref="A21:B21"/>
    <mergeCell ref="C20:C21"/>
    <mergeCell ref="AC20:AC21"/>
    <mergeCell ref="AB20:AB21"/>
    <mergeCell ref="D20:D21"/>
    <mergeCell ref="T1:U1"/>
    <mergeCell ref="V1:W1"/>
    <mergeCell ref="X1:Y1"/>
    <mergeCell ref="Z1:AA1"/>
    <mergeCell ref="D1:E1"/>
    <mergeCell ref="F1:G1"/>
    <mergeCell ref="H1:I1"/>
    <mergeCell ref="J1:K1"/>
    <mergeCell ref="L1:M1"/>
    <mergeCell ref="P25:U25"/>
    <mergeCell ref="P26:U26"/>
    <mergeCell ref="P27:U27"/>
    <mergeCell ref="P28:U28"/>
    <mergeCell ref="D27:J27"/>
    <mergeCell ref="D26:J26"/>
    <mergeCell ref="D25:J25"/>
    <mergeCell ref="D28:J28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A31" sqref="A31:D34"/>
    </sheetView>
  </sheetViews>
  <sheetFormatPr defaultRowHeight="15"/>
  <cols>
    <col min="1" max="1" width="27" customWidth="1"/>
    <col min="4" max="4" width="6.85546875" bestFit="1" customWidth="1"/>
  </cols>
  <sheetData>
    <row r="1" spans="1:10">
      <c r="A1" s="79" t="s">
        <v>162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83" t="s">
        <v>183</v>
      </c>
      <c r="B2" s="83"/>
      <c r="C2" s="83"/>
      <c r="D2" s="83"/>
      <c r="E2" s="83"/>
      <c r="F2" s="83"/>
      <c r="G2" s="83"/>
      <c r="H2" s="83"/>
      <c r="I2" s="83"/>
      <c r="J2" s="83"/>
    </row>
    <row r="3" spans="1:10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>
      <c r="A4" s="84" t="s">
        <v>163</v>
      </c>
      <c r="B4" s="84"/>
      <c r="C4" s="84"/>
      <c r="D4" s="84"/>
      <c r="E4" s="84"/>
      <c r="F4" s="84"/>
      <c r="G4" s="84"/>
      <c r="H4" s="84"/>
      <c r="I4" s="85">
        <v>1</v>
      </c>
      <c r="J4" s="85"/>
    </row>
    <row r="5" spans="1:10">
      <c r="A5" s="86" t="s">
        <v>164</v>
      </c>
      <c r="B5" s="86"/>
      <c r="C5" s="86"/>
      <c r="D5" s="86"/>
      <c r="E5" s="86"/>
      <c r="F5" s="86"/>
      <c r="G5" s="86"/>
      <c r="H5" s="86"/>
      <c r="I5" s="85">
        <v>0.05</v>
      </c>
      <c r="J5" s="85"/>
    </row>
    <row r="6" spans="1:10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>
      <c r="A7" s="47"/>
      <c r="B7" s="47"/>
      <c r="C7" s="47"/>
      <c r="D7" s="47"/>
      <c r="E7" s="47"/>
      <c r="F7" s="47"/>
      <c r="G7" s="47"/>
      <c r="H7" s="47"/>
      <c r="I7" s="47"/>
      <c r="J7" s="47"/>
    </row>
    <row r="8" spans="1:10" ht="15.75">
      <c r="A8" s="78" t="s">
        <v>165</v>
      </c>
      <c r="B8" s="78"/>
      <c r="C8" s="78"/>
      <c r="D8" s="78"/>
      <c r="E8" s="78"/>
      <c r="F8" s="78"/>
      <c r="G8" s="78"/>
      <c r="H8" s="78"/>
      <c r="I8" s="78"/>
      <c r="J8" s="78"/>
    </row>
    <row r="9" spans="1:10">
      <c r="A9" s="47"/>
      <c r="B9" s="47"/>
      <c r="C9" s="47"/>
      <c r="D9" s="47"/>
      <c r="E9" s="47"/>
      <c r="F9" s="47"/>
      <c r="G9" s="47"/>
      <c r="H9" s="47"/>
      <c r="I9" s="47"/>
      <c r="J9" s="47"/>
    </row>
    <row r="10" spans="1:10">
      <c r="A10" s="79" t="s">
        <v>166</v>
      </c>
      <c r="B10" s="79"/>
      <c r="C10" s="79"/>
      <c r="D10" s="79"/>
      <c r="E10" s="79"/>
      <c r="F10" s="79"/>
      <c r="G10" s="79"/>
      <c r="H10" s="79"/>
      <c r="I10" s="79"/>
      <c r="J10" s="79"/>
    </row>
    <row r="11" spans="1:10">
      <c r="A11" s="80" t="s">
        <v>167</v>
      </c>
      <c r="B11" s="80"/>
      <c r="C11" s="80"/>
      <c r="D11" s="80"/>
      <c r="E11" s="80"/>
      <c r="F11" s="80"/>
      <c r="G11" s="80"/>
      <c r="H11" s="80"/>
      <c r="I11" s="80"/>
      <c r="J11" s="80"/>
    </row>
    <row r="12" spans="1:10">
      <c r="A12" s="47"/>
      <c r="B12" s="47"/>
      <c r="C12" s="47"/>
      <c r="D12" s="47"/>
      <c r="E12" s="47"/>
      <c r="F12" s="47"/>
      <c r="G12" s="47"/>
      <c r="H12" s="47"/>
      <c r="I12" s="47"/>
      <c r="J12" s="47"/>
    </row>
    <row r="13" spans="1:10">
      <c r="A13" s="81" t="s">
        <v>168</v>
      </c>
      <c r="B13" s="81"/>
      <c r="C13" s="81"/>
      <c r="D13" s="81"/>
      <c r="E13" s="81"/>
      <c r="F13" s="81"/>
      <c r="G13" s="81"/>
      <c r="H13" s="81"/>
      <c r="I13" s="81" t="s">
        <v>169</v>
      </c>
      <c r="J13" s="82" t="s">
        <v>170</v>
      </c>
    </row>
    <row r="14" spans="1:10">
      <c r="A14" s="81"/>
      <c r="B14" s="81"/>
      <c r="C14" s="81"/>
      <c r="D14" s="81"/>
      <c r="E14" s="81"/>
      <c r="F14" s="81"/>
      <c r="G14" s="81"/>
      <c r="H14" s="81"/>
      <c r="I14" s="81"/>
      <c r="J14" s="82"/>
    </row>
    <row r="15" spans="1:10">
      <c r="A15" s="76" t="str">
        <f>IF($J$17=$A$140,"Encargos Sociais incidentes sobre a mão de obra","Administração Central")</f>
        <v>Administração Central</v>
      </c>
      <c r="B15" s="76"/>
      <c r="C15" s="76"/>
      <c r="D15" s="76"/>
      <c r="E15" s="76"/>
      <c r="F15" s="76"/>
      <c r="G15" s="76"/>
      <c r="H15" s="76"/>
      <c r="I15" s="48" t="s">
        <v>184</v>
      </c>
      <c r="J15" s="49">
        <v>3.9100000000000003E-2</v>
      </c>
    </row>
    <row r="16" spans="1:10">
      <c r="A16" s="76" t="str">
        <f>IF($J$17=$A$140,"Administração Central da empresa ou consultoria - overhead","Seguro e Garantia")</f>
        <v>Seguro e Garantia</v>
      </c>
      <c r="B16" s="76"/>
      <c r="C16" s="76"/>
      <c r="D16" s="76"/>
      <c r="E16" s="76"/>
      <c r="F16" s="76"/>
      <c r="G16" s="76"/>
      <c r="H16" s="76"/>
      <c r="I16" s="48" t="s">
        <v>185</v>
      </c>
      <c r="J16" s="49">
        <v>3.0000000000000001E-3</v>
      </c>
    </row>
    <row r="17" spans="1:10">
      <c r="A17" s="76" t="str">
        <f>IF($J$17=$A$140,"","Risco")</f>
        <v>Risco</v>
      </c>
      <c r="B17" s="76"/>
      <c r="C17" s="76"/>
      <c r="D17" s="76"/>
      <c r="E17" s="76"/>
      <c r="F17" s="76"/>
      <c r="G17" s="76"/>
      <c r="H17" s="76"/>
      <c r="I17" s="48" t="s">
        <v>186</v>
      </c>
      <c r="J17" s="49">
        <v>4.5999999999999999E-3</v>
      </c>
    </row>
    <row r="18" spans="1:10">
      <c r="A18" s="76" t="str">
        <f>IF($J$17=$A$140,"","Despesas Financeiras")</f>
        <v>Despesas Financeiras</v>
      </c>
      <c r="B18" s="76"/>
      <c r="C18" s="76"/>
      <c r="D18" s="76"/>
      <c r="E18" s="76"/>
      <c r="F18" s="76"/>
      <c r="G18" s="76"/>
      <c r="H18" s="76"/>
      <c r="I18" s="48" t="s">
        <v>187</v>
      </c>
      <c r="J18" s="49">
        <v>1.01E-2</v>
      </c>
    </row>
    <row r="19" spans="1:10">
      <c r="A19" s="76" t="str">
        <f>IF($J$17=$A$140,"Margem bruta da empresa de consultoria","Lucro")</f>
        <v>Lucro</v>
      </c>
      <c r="B19" s="76"/>
      <c r="C19" s="76"/>
      <c r="D19" s="76"/>
      <c r="E19" s="76"/>
      <c r="F19" s="76"/>
      <c r="G19" s="76"/>
      <c r="H19" s="76"/>
      <c r="I19" s="48" t="s">
        <v>188</v>
      </c>
      <c r="J19" s="49">
        <v>7.1999999999999995E-2</v>
      </c>
    </row>
    <row r="20" spans="1:10">
      <c r="A20" s="76" t="s">
        <v>171</v>
      </c>
      <c r="B20" s="76"/>
      <c r="C20" s="76"/>
      <c r="D20" s="76"/>
      <c r="E20" s="76"/>
      <c r="F20" s="76"/>
      <c r="G20" s="76"/>
      <c r="H20" s="76"/>
      <c r="I20" s="48" t="s">
        <v>172</v>
      </c>
      <c r="J20" s="49">
        <v>3.6499999999999998E-2</v>
      </c>
    </row>
    <row r="21" spans="1:10">
      <c r="A21" s="76" t="s">
        <v>173</v>
      </c>
      <c r="B21" s="76"/>
      <c r="C21" s="76"/>
      <c r="D21" s="76"/>
      <c r="E21" s="76"/>
      <c r="F21" s="76"/>
      <c r="G21" s="76"/>
      <c r="H21" s="76"/>
      <c r="I21" s="48" t="s">
        <v>174</v>
      </c>
      <c r="J21" s="50">
        <v>0.05</v>
      </c>
    </row>
    <row r="22" spans="1:10">
      <c r="A22" s="76" t="s">
        <v>175</v>
      </c>
      <c r="B22" s="76"/>
      <c r="C22" s="76"/>
      <c r="D22" s="76"/>
      <c r="E22" s="76"/>
      <c r="F22" s="76"/>
      <c r="G22" s="76"/>
      <c r="H22" s="76"/>
      <c r="I22" s="48" t="s">
        <v>176</v>
      </c>
      <c r="J22" s="50">
        <f ca="1">IF(BDI.Opcao&lt;&gt;"Desonerado",0,IF(AND($J11&lt;&gt;$A$139,COUNTA(OFFSET(J14,1,0,6))&gt;0),4.5%,0%))</f>
        <v>0</v>
      </c>
    </row>
    <row r="23" spans="1:10" ht="28.5">
      <c r="A23" s="76" t="s">
        <v>177</v>
      </c>
      <c r="B23" s="76"/>
      <c r="C23" s="76"/>
      <c r="D23" s="76"/>
      <c r="E23" s="76"/>
      <c r="F23" s="76"/>
      <c r="G23" s="76"/>
      <c r="H23" s="76"/>
      <c r="I23" s="51" t="s">
        <v>178</v>
      </c>
      <c r="J23" s="50">
        <v>0.2407</v>
      </c>
    </row>
    <row r="24" spans="1:10">
      <c r="A24" s="47"/>
      <c r="B24" s="47"/>
      <c r="C24" s="47"/>
      <c r="D24" s="47"/>
      <c r="E24" s="47"/>
      <c r="F24" s="47"/>
      <c r="G24" s="47"/>
      <c r="H24" s="47"/>
      <c r="I24" s="47"/>
      <c r="J24" s="47"/>
    </row>
    <row r="25" spans="1:10">
      <c r="A25" s="47"/>
      <c r="B25" s="47"/>
      <c r="C25" s="47"/>
      <c r="D25" s="47"/>
      <c r="E25" s="47"/>
      <c r="F25" s="47"/>
      <c r="G25" s="47"/>
      <c r="H25" s="47"/>
      <c r="I25" s="47"/>
      <c r="J25" s="47"/>
    </row>
    <row r="26" spans="1:10">
      <c r="A26" s="77" t="s">
        <v>179</v>
      </c>
      <c r="B26" s="77"/>
      <c r="C26" s="77"/>
      <c r="D26" s="77"/>
      <c r="E26" s="77"/>
      <c r="F26" s="77"/>
      <c r="G26" s="77"/>
      <c r="H26" s="77"/>
      <c r="I26" s="77"/>
      <c r="J26" s="77"/>
    </row>
    <row r="27" spans="1:10" ht="15.75">
      <c r="A27" s="52"/>
      <c r="B27" s="52"/>
      <c r="C27" s="52"/>
      <c r="D27" s="72" t="s">
        <v>180</v>
      </c>
      <c r="E27" s="73" t="str">
        <f>IF($J11=$A$140,"(1+K1+K2)*(1+K3)","(1+AC + S + R + G)*(1 + DF)*(1+L)")</f>
        <v>(1+K1+K2)*(1+K3)</v>
      </c>
      <c r="F27" s="73"/>
      <c r="G27" s="73"/>
      <c r="H27" s="74" t="s">
        <v>181</v>
      </c>
      <c r="I27" s="52"/>
      <c r="J27" s="52"/>
    </row>
    <row r="28" spans="1:10" ht="15.75">
      <c r="A28" s="52"/>
      <c r="B28" s="52"/>
      <c r="C28" s="52"/>
      <c r="D28" s="72"/>
      <c r="E28" s="75" t="s">
        <v>182</v>
      </c>
      <c r="F28" s="75"/>
      <c r="G28" s="75"/>
      <c r="H28" s="74"/>
      <c r="I28" s="52"/>
      <c r="J28" s="52"/>
    </row>
    <row r="29" spans="1:10">
      <c r="A29" s="53"/>
      <c r="B29" s="53"/>
      <c r="C29" s="53"/>
      <c r="D29" s="53"/>
      <c r="E29" s="53"/>
      <c r="F29" s="53"/>
      <c r="G29" s="53"/>
      <c r="H29" s="53"/>
      <c r="I29" s="53"/>
      <c r="J29" s="53"/>
    </row>
    <row r="31" spans="1:10">
      <c r="A31" s="64" t="s">
        <v>191</v>
      </c>
      <c r="B31" s="64"/>
      <c r="C31" s="64"/>
      <c r="D31" s="64"/>
      <c r="F31" s="64" t="s">
        <v>189</v>
      </c>
      <c r="G31" s="64"/>
      <c r="H31" s="64"/>
      <c r="I31" s="64"/>
      <c r="J31" s="64"/>
    </row>
    <row r="32" spans="1:10">
      <c r="A32" s="60" t="s">
        <v>130</v>
      </c>
      <c r="B32" s="60"/>
      <c r="C32" s="60"/>
      <c r="D32" s="60"/>
      <c r="F32" s="60" t="s">
        <v>133</v>
      </c>
      <c r="G32" s="60"/>
      <c r="H32" s="60"/>
      <c r="I32" s="60"/>
      <c r="J32" s="60"/>
    </row>
    <row r="33" spans="1:10">
      <c r="A33" s="64" t="s">
        <v>131</v>
      </c>
      <c r="B33" s="64"/>
      <c r="C33" s="64"/>
      <c r="D33" s="64"/>
      <c r="F33" s="64" t="s">
        <v>134</v>
      </c>
      <c r="G33" s="64"/>
      <c r="H33" s="64"/>
      <c r="I33" s="64"/>
      <c r="J33" s="64"/>
    </row>
    <row r="34" spans="1:10">
      <c r="A34" s="64" t="s">
        <v>192</v>
      </c>
      <c r="B34" s="64"/>
      <c r="C34" s="64"/>
      <c r="D34" s="64"/>
      <c r="F34" s="64" t="s">
        <v>190</v>
      </c>
      <c r="G34" s="64"/>
      <c r="H34" s="64"/>
      <c r="I34" s="64"/>
      <c r="J34" s="64"/>
    </row>
  </sheetData>
  <mergeCells count="34">
    <mergeCell ref="A1:J1"/>
    <mergeCell ref="A2:J2"/>
    <mergeCell ref="A4:H4"/>
    <mergeCell ref="I4:J4"/>
    <mergeCell ref="A5:H5"/>
    <mergeCell ref="I5:J5"/>
    <mergeCell ref="A20:H20"/>
    <mergeCell ref="A8:J8"/>
    <mergeCell ref="A10:J10"/>
    <mergeCell ref="A11:J11"/>
    <mergeCell ref="A13:H14"/>
    <mergeCell ref="I13:I14"/>
    <mergeCell ref="J13:J14"/>
    <mergeCell ref="A15:H15"/>
    <mergeCell ref="A16:H16"/>
    <mergeCell ref="A17:H17"/>
    <mergeCell ref="A18:H18"/>
    <mergeCell ref="A19:H19"/>
    <mergeCell ref="D27:D28"/>
    <mergeCell ref="E27:G27"/>
    <mergeCell ref="H27:H28"/>
    <mergeCell ref="E28:G28"/>
    <mergeCell ref="A21:H21"/>
    <mergeCell ref="A22:H22"/>
    <mergeCell ref="A23:H23"/>
    <mergeCell ref="A26:J26"/>
    <mergeCell ref="A31:D31"/>
    <mergeCell ref="F31:J31"/>
    <mergeCell ref="F32:J32"/>
    <mergeCell ref="F33:J33"/>
    <mergeCell ref="F34:J34"/>
    <mergeCell ref="A32:D32"/>
    <mergeCell ref="A33:D33"/>
    <mergeCell ref="A34:D34"/>
  </mergeCells>
  <conditionalFormatting sqref="J23">
    <cfRule type="expression" dxfId="0" priority="1" stopIfTrue="1">
      <formula>DESONERACAO="não"</formula>
    </cfRule>
  </conditionalFormatting>
  <dataValidations count="6">
    <dataValidation type="list" allowBlank="1" showErrorMessage="1" sqref="A11:J11">
      <formula1>BDI.TipoObra</formula1>
      <formula2>0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I4:J4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I5:J5">
      <formula1>0</formula1>
      <formula2>0</formula2>
    </dataValidation>
    <dataValidation operator="greaterThanOrEqual" allowBlank="1" showErrorMessage="1" errorTitle="Erro de valores" error="Digite um valor igual a 0% ou 2%." sqref="J22">
      <formula1>0</formula1>
      <formula2>0</formula2>
    </dataValidation>
    <dataValidation type="decimal" allowBlank="1" showErrorMessage="1" errorTitle="Erro de valores" error="Digite um valor maior do que 0." sqref="J21">
      <formula1>0</formula1>
      <formula2>1</formula2>
    </dataValidation>
    <dataValidation type="decimal" allowBlank="1" showErrorMessage="1" errorTitle="Erro de valores" error="Digite um valor entre 0% e 100%" sqref="J15:J20">
      <formula1>0</formula1>
      <formula2>1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Orçamentária</vt:lpstr>
      <vt:lpstr>Cronograma</vt:lpstr>
      <vt:lpstr>BDI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Administração</dc:creator>
  <cp:lastModifiedBy>angelita</cp:lastModifiedBy>
  <dcterms:created xsi:type="dcterms:W3CDTF">2018-06-04T13:06:18Z</dcterms:created>
  <dcterms:modified xsi:type="dcterms:W3CDTF">2018-06-05T11:35:22Z</dcterms:modified>
</cp:coreProperties>
</file>